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es Vanessa\Desktop\AA_WFP\1b. Anthropometric Tools\"/>
    </mc:Choice>
  </mc:AlternateContent>
  <bookViews>
    <workbookView xWindow="0" yWindow="0" windowWidth="16760" windowHeight="4080"/>
  </bookViews>
  <sheets>
    <sheet name="Overview" sheetId="1" r:id="rId1"/>
    <sheet name="Assumptions" sheetId="2" r:id="rId2"/>
  </sheets>
  <definedNames>
    <definedName name="_xlnm._FilterDatabase" localSheetId="0" hidden="1">Overview!$A$3:$AF$3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Y36" i="1"/>
  <c r="AB36" i="1"/>
  <c r="AB31" i="1"/>
  <c r="AB30" i="1"/>
  <c r="AB29" i="1"/>
  <c r="AB28" i="1"/>
  <c r="AB27" i="1"/>
  <c r="AB26" i="1"/>
  <c r="AB25" i="1"/>
  <c r="AB24" i="1"/>
  <c r="AB23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7" i="1"/>
  <c r="AB6" i="1"/>
  <c r="AB5" i="1"/>
  <c r="AB4" i="1"/>
  <c r="Y31" i="1"/>
  <c r="Y30" i="1"/>
  <c r="Y29" i="1"/>
  <c r="Y28" i="1"/>
  <c r="Y27" i="1"/>
  <c r="Y26" i="1"/>
  <c r="Y25" i="1"/>
  <c r="Y24" i="1"/>
  <c r="Y23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3" i="1"/>
  <c r="V24" i="1"/>
  <c r="V25" i="1"/>
  <c r="V26" i="1"/>
  <c r="V27" i="1"/>
  <c r="V28" i="1"/>
  <c r="V29" i="1"/>
  <c r="V30" i="1"/>
  <c r="V31" i="1"/>
  <c r="V4" i="1"/>
  <c r="T24" i="1"/>
  <c r="AC24" i="1"/>
  <c r="W24" i="1"/>
  <c r="AD24" i="1"/>
  <c r="Z24" i="1"/>
  <c r="AE24" i="1"/>
  <c r="AF2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3" i="1"/>
  <c r="J25" i="1"/>
  <c r="J26" i="1"/>
  <c r="J27" i="1"/>
  <c r="J28" i="1"/>
  <c r="J29" i="1"/>
  <c r="J30" i="1"/>
  <c r="J31" i="1"/>
  <c r="J36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3" i="1"/>
  <c r="L25" i="1"/>
  <c r="L26" i="1"/>
  <c r="L27" i="1"/>
  <c r="L28" i="1"/>
  <c r="L29" i="1"/>
  <c r="L30" i="1"/>
  <c r="L31" i="1"/>
  <c r="L36" i="1"/>
  <c r="N4" i="1"/>
  <c r="N5" i="1"/>
  <c r="N6" i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3" i="1"/>
  <c r="N25" i="1"/>
  <c r="N26" i="1"/>
  <c r="N27" i="1"/>
  <c r="N28" i="1"/>
  <c r="N29" i="1"/>
  <c r="N30" i="1"/>
  <c r="N31" i="1"/>
  <c r="N36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3" i="1"/>
  <c r="T25" i="1"/>
  <c r="T26" i="1"/>
  <c r="T27" i="1"/>
  <c r="T28" i="1"/>
  <c r="T29" i="1"/>
  <c r="T30" i="1"/>
  <c r="T31" i="1"/>
  <c r="T36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3" i="1"/>
  <c r="W25" i="1"/>
  <c r="W26" i="1"/>
  <c r="W27" i="1"/>
  <c r="W28" i="1"/>
  <c r="W29" i="1"/>
  <c r="W30" i="1"/>
  <c r="W31" i="1"/>
  <c r="W36" i="1"/>
  <c r="Z4" i="1"/>
  <c r="Z5" i="1"/>
  <c r="Z6" i="1"/>
  <c r="Z7" i="1"/>
  <c r="Z9" i="1"/>
  <c r="Z10" i="1"/>
  <c r="Z11" i="1"/>
  <c r="Z12" i="1"/>
  <c r="Z13" i="1"/>
  <c r="Z14" i="1"/>
  <c r="Z15" i="1"/>
  <c r="Z16" i="1"/>
  <c r="Z17" i="1"/>
  <c r="Z18" i="1"/>
  <c r="Z19" i="1"/>
  <c r="Z20" i="1"/>
  <c r="Z23" i="1"/>
  <c r="Z25" i="1"/>
  <c r="Z26" i="1"/>
  <c r="Z27" i="1"/>
  <c r="Z28" i="1"/>
  <c r="Z29" i="1"/>
  <c r="Z30" i="1"/>
  <c r="Z31" i="1"/>
  <c r="Z36" i="1"/>
  <c r="AC4" i="1"/>
  <c r="AD4" i="1"/>
  <c r="AE4" i="1"/>
  <c r="AF4" i="1"/>
  <c r="AC5" i="1"/>
  <c r="AD5" i="1"/>
  <c r="AE5" i="1"/>
  <c r="AF5" i="1"/>
  <c r="AC6" i="1"/>
  <c r="AD6" i="1"/>
  <c r="AE6" i="1"/>
  <c r="AF6" i="1"/>
  <c r="AC7" i="1"/>
  <c r="AD7" i="1"/>
  <c r="AE7" i="1"/>
  <c r="AF7" i="1"/>
  <c r="AC8" i="1"/>
  <c r="AD8" i="1"/>
  <c r="AF8" i="1"/>
  <c r="AC9" i="1"/>
  <c r="AD9" i="1"/>
  <c r="AE9" i="1"/>
  <c r="AF9" i="1"/>
  <c r="AC10" i="1"/>
  <c r="AD10" i="1"/>
  <c r="AE10" i="1"/>
  <c r="AF10" i="1"/>
  <c r="AC11" i="1"/>
  <c r="AD11" i="1"/>
  <c r="AE11" i="1"/>
  <c r="AF11" i="1"/>
  <c r="AC12" i="1"/>
  <c r="AD12" i="1"/>
  <c r="AE12" i="1"/>
  <c r="AF12" i="1"/>
  <c r="AC13" i="1"/>
  <c r="AD13" i="1"/>
  <c r="AE13" i="1"/>
  <c r="AF13" i="1"/>
  <c r="AC14" i="1"/>
  <c r="AD14" i="1"/>
  <c r="AE14" i="1"/>
  <c r="AF14" i="1"/>
  <c r="AC15" i="1"/>
  <c r="AD15" i="1"/>
  <c r="AE15" i="1"/>
  <c r="AF15" i="1"/>
  <c r="AC16" i="1"/>
  <c r="AD16" i="1"/>
  <c r="AE16" i="1"/>
  <c r="AF16" i="1"/>
  <c r="AC17" i="1"/>
  <c r="AD17" i="1"/>
  <c r="AE17" i="1"/>
  <c r="AF17" i="1"/>
  <c r="AC18" i="1"/>
  <c r="AD18" i="1"/>
  <c r="AE18" i="1"/>
  <c r="AF18" i="1"/>
  <c r="AC19" i="1"/>
  <c r="AD19" i="1"/>
  <c r="AE19" i="1"/>
  <c r="AF19" i="1"/>
  <c r="AC20" i="1"/>
  <c r="AD20" i="1"/>
  <c r="AE20" i="1"/>
  <c r="AF20" i="1"/>
  <c r="AC23" i="1"/>
  <c r="AD23" i="1"/>
  <c r="AE23" i="1"/>
  <c r="AF23" i="1"/>
  <c r="AC25" i="1"/>
  <c r="AD25" i="1"/>
  <c r="AE25" i="1"/>
  <c r="AF25" i="1"/>
  <c r="AC26" i="1"/>
  <c r="AD26" i="1"/>
  <c r="AE26" i="1"/>
  <c r="AF26" i="1"/>
  <c r="AC27" i="1"/>
  <c r="AD27" i="1"/>
  <c r="AE27" i="1"/>
  <c r="AF27" i="1"/>
  <c r="AC28" i="1"/>
  <c r="AD28" i="1"/>
  <c r="AE28" i="1"/>
  <c r="AF28" i="1"/>
  <c r="AC29" i="1"/>
  <c r="AD29" i="1"/>
  <c r="AE29" i="1"/>
  <c r="AF29" i="1"/>
  <c r="AC30" i="1"/>
  <c r="AD30" i="1"/>
  <c r="AE30" i="1"/>
  <c r="AF30" i="1"/>
  <c r="AC31" i="1"/>
  <c r="AD31" i="1"/>
  <c r="AE31" i="1"/>
  <c r="AF31" i="1"/>
  <c r="AF36" i="1"/>
  <c r="AE36" i="1"/>
  <c r="AD36" i="1"/>
  <c r="AC36" i="1"/>
  <c r="P4" i="1"/>
  <c r="Q4" i="1"/>
  <c r="R4" i="1"/>
  <c r="S4" i="1"/>
  <c r="P5" i="1"/>
  <c r="Q5" i="1"/>
  <c r="R5" i="1"/>
  <c r="S5" i="1"/>
  <c r="P6" i="1"/>
  <c r="Q6" i="1"/>
  <c r="R6" i="1"/>
  <c r="S6" i="1"/>
  <c r="P7" i="1"/>
  <c r="Q7" i="1"/>
  <c r="R7" i="1"/>
  <c r="S7" i="1"/>
  <c r="P8" i="1"/>
  <c r="Q8" i="1"/>
  <c r="S8" i="1"/>
  <c r="P9" i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3" i="1"/>
  <c r="Q23" i="1"/>
  <c r="R23" i="1"/>
  <c r="S23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S36" i="1"/>
  <c r="R36" i="1"/>
  <c r="Q36" i="1"/>
  <c r="P36" i="1"/>
  <c r="I36" i="1"/>
  <c r="H36" i="1"/>
  <c r="G36" i="1"/>
  <c r="E36" i="1"/>
  <c r="AE3" i="1"/>
  <c r="AD3" i="1"/>
  <c r="AC3" i="1"/>
  <c r="D36" i="1"/>
  <c r="K7" i="1"/>
  <c r="K25" i="1"/>
  <c r="K4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3" i="1"/>
  <c r="K26" i="1"/>
  <c r="K27" i="1"/>
  <c r="K28" i="1"/>
  <c r="K29" i="1"/>
  <c r="K30" i="1"/>
  <c r="K31" i="1"/>
  <c r="K36" i="1"/>
  <c r="M7" i="1"/>
  <c r="M25" i="1"/>
  <c r="M4" i="1"/>
  <c r="M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3" i="1"/>
  <c r="M26" i="1"/>
  <c r="M27" i="1"/>
  <c r="M28" i="1"/>
  <c r="M29" i="1"/>
  <c r="M30" i="1"/>
  <c r="M31" i="1"/>
  <c r="M36" i="1"/>
  <c r="O7" i="1"/>
  <c r="O25" i="1"/>
  <c r="O4" i="1"/>
  <c r="O5" i="1"/>
  <c r="O6" i="1"/>
  <c r="O9" i="1"/>
  <c r="O10" i="1"/>
  <c r="O11" i="1"/>
  <c r="O12" i="1"/>
  <c r="O13" i="1"/>
  <c r="O14" i="1"/>
  <c r="O15" i="1"/>
  <c r="O16" i="1"/>
  <c r="O17" i="1"/>
  <c r="O18" i="1"/>
  <c r="O19" i="1"/>
  <c r="O20" i="1"/>
  <c r="O23" i="1"/>
  <c r="O26" i="1"/>
  <c r="O27" i="1"/>
  <c r="O28" i="1"/>
  <c r="O29" i="1"/>
  <c r="O30" i="1"/>
  <c r="O31" i="1"/>
  <c r="O36" i="1"/>
  <c r="U4" i="1"/>
  <c r="U31" i="1"/>
  <c r="U8" i="1"/>
  <c r="U5" i="1"/>
  <c r="U6" i="1"/>
  <c r="U7" i="1"/>
  <c r="U30" i="1"/>
  <c r="U29" i="1"/>
  <c r="U9" i="1"/>
  <c r="U10" i="1"/>
  <c r="U11" i="1"/>
  <c r="U12" i="1"/>
  <c r="U13" i="1"/>
  <c r="U14" i="1"/>
  <c r="U15" i="1"/>
  <c r="U16" i="1"/>
  <c r="U17" i="1"/>
  <c r="U18" i="1"/>
  <c r="U19" i="1"/>
  <c r="U20" i="1"/>
  <c r="U23" i="1"/>
  <c r="U25" i="1"/>
  <c r="U26" i="1"/>
  <c r="U27" i="1"/>
  <c r="U28" i="1"/>
  <c r="U36" i="1"/>
  <c r="X4" i="1"/>
  <c r="X31" i="1"/>
  <c r="X8" i="1"/>
  <c r="X5" i="1"/>
  <c r="X6" i="1"/>
  <c r="X7" i="1"/>
  <c r="X30" i="1"/>
  <c r="X29" i="1"/>
  <c r="X9" i="1"/>
  <c r="X10" i="1"/>
  <c r="X11" i="1"/>
  <c r="X12" i="1"/>
  <c r="X13" i="1"/>
  <c r="X14" i="1"/>
  <c r="X15" i="1"/>
  <c r="X16" i="1"/>
  <c r="X17" i="1"/>
  <c r="X18" i="1"/>
  <c r="X19" i="1"/>
  <c r="X20" i="1"/>
  <c r="X23" i="1"/>
  <c r="X25" i="1"/>
  <c r="X26" i="1"/>
  <c r="X27" i="1"/>
  <c r="X28" i="1"/>
  <c r="X36" i="1"/>
  <c r="AA4" i="1"/>
  <c r="AA31" i="1"/>
  <c r="AA5" i="1"/>
  <c r="AA6" i="1"/>
  <c r="AA7" i="1"/>
  <c r="AA30" i="1"/>
  <c r="AA29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3" i="1"/>
  <c r="AA25" i="1"/>
  <c r="AA26" i="1"/>
  <c r="AA27" i="1"/>
  <c r="AA28" i="1"/>
  <c r="AA36" i="1"/>
  <c r="F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3" i="1"/>
  <c r="F26" i="1"/>
  <c r="F27" i="1"/>
  <c r="F28" i="1"/>
  <c r="F29" i="1"/>
  <c r="F30" i="1"/>
  <c r="F31" i="1"/>
  <c r="F36" i="1"/>
  <c r="C36" i="1"/>
</calcChain>
</file>

<file path=xl/sharedStrings.xml><?xml version="1.0" encoding="utf-8"?>
<sst xmlns="http://schemas.openxmlformats.org/spreadsheetml/2006/main" count="247" uniqueCount="72">
  <si>
    <t>Dodoma</t>
  </si>
  <si>
    <t>Arusha</t>
  </si>
  <si>
    <t>Kilimanjaro</t>
  </si>
  <si>
    <t>Tanga</t>
  </si>
  <si>
    <t>Morogoro</t>
  </si>
  <si>
    <t>Pwani</t>
  </si>
  <si>
    <t>Lindi</t>
  </si>
  <si>
    <t>Mtwara</t>
  </si>
  <si>
    <t>Ruvuma</t>
  </si>
  <si>
    <t>Iringa</t>
  </si>
  <si>
    <t>Mbeya</t>
  </si>
  <si>
    <t>Singida</t>
  </si>
  <si>
    <t>Tabora</t>
  </si>
  <si>
    <t>Rukwa</t>
  </si>
  <si>
    <t>Kigoma</t>
  </si>
  <si>
    <t>Shinyanga</t>
  </si>
  <si>
    <t>Kagera</t>
  </si>
  <si>
    <t>Mwanza</t>
  </si>
  <si>
    <t>Mara</t>
  </si>
  <si>
    <t>Manyara</t>
  </si>
  <si>
    <t>Njombe</t>
  </si>
  <si>
    <t>Katavi</t>
  </si>
  <si>
    <t>Simiyu</t>
  </si>
  <si>
    <t>Geita</t>
  </si>
  <si>
    <t>Songwe</t>
  </si>
  <si>
    <t>Dar es Salaam</t>
  </si>
  <si>
    <t>na</t>
  </si>
  <si>
    <t>Total Cost (USD)</t>
  </si>
  <si>
    <t>MUAC Tapes</t>
  </si>
  <si>
    <t>Children's Height boards</t>
  </si>
  <si>
    <t>Children's Height boards (%)</t>
  </si>
  <si>
    <t>Weighing scale (%)</t>
  </si>
  <si>
    <t>MUAC Tapes (%)</t>
  </si>
  <si>
    <t>Pemba North</t>
  </si>
  <si>
    <t>Pemba South</t>
  </si>
  <si>
    <t>Zanzibar North</t>
  </si>
  <si>
    <t>Zanzibar South</t>
  </si>
  <si>
    <t>Zanzibar Central</t>
  </si>
  <si>
    <t>Tanzania Total</t>
  </si>
  <si>
    <t>Main Assumptions</t>
  </si>
  <si>
    <t>Condition of tools assumed to be workable, i.e. no currently supplied tools to be replaced</t>
  </si>
  <si>
    <r>
      <t xml:space="preserve">1x Children's Height board
</t>
    </r>
    <r>
      <rPr>
        <sz val="11"/>
        <color theme="0"/>
        <rFont val="Calibri"/>
        <family val="2"/>
        <scheme val="minor"/>
      </rPr>
      <t>(USD)</t>
    </r>
  </si>
  <si>
    <r>
      <t xml:space="preserve">1x Weighing scale (Electronic)
</t>
    </r>
    <r>
      <rPr>
        <sz val="11"/>
        <color theme="0"/>
        <rFont val="Calibri"/>
        <family val="2"/>
        <scheme val="minor"/>
      </rPr>
      <t>(USD)</t>
    </r>
  </si>
  <si>
    <r>
      <t xml:space="preserve">1 pkg MUAC Tapes
</t>
    </r>
    <r>
      <rPr>
        <sz val="11"/>
        <color theme="0"/>
        <rFont val="Calibri"/>
        <family val="2"/>
        <scheme val="minor"/>
      </rPr>
      <t>(USD)</t>
    </r>
  </si>
  <si>
    <t>Red cell = Less than 50% of facilities submitted data in specific Region</t>
  </si>
  <si>
    <t xml:space="preserve">na = No data available </t>
  </si>
  <si>
    <t>Rukwa calculated based upon national averages</t>
  </si>
  <si>
    <t>1x weighing scale per facility in need at 169 USD including freight and clearance</t>
  </si>
  <si>
    <t>1x height board per facility in need at 125 USD including freight and clearance</t>
  </si>
  <si>
    <t>1x package of 50 MUAC tapes per facility in need at 5 USD including freight and clearance</t>
  </si>
  <si>
    <t>To be double-checked with PPT deck</t>
  </si>
  <si>
    <t>Data submitted to PORALG in April 2018</t>
  </si>
  <si>
    <t>Number of health facilities</t>
  </si>
  <si>
    <t>Number of health facilities submitted data</t>
  </si>
  <si>
    <t>% of health facilities submitted data</t>
  </si>
  <si>
    <t>Stunting rate (NMNAP)</t>
  </si>
  <si>
    <t>Region</t>
  </si>
  <si>
    <t>Weighing scales</t>
  </si>
  <si>
    <t>Unused scenario: Total equipment need
Assuming facilities who did not submit have 0 tools</t>
  </si>
  <si>
    <t>Unused scenario: Costs
Assuming facilities who did not submit have 0 tools</t>
  </si>
  <si>
    <t>Need - Children's Height boards need</t>
  </si>
  <si>
    <t>Need - Children's Height boards (%)</t>
  </si>
  <si>
    <t>Coverage - Children's Height boards (%)</t>
  </si>
  <si>
    <t>Need - Weighing scales</t>
  </si>
  <si>
    <t>Need - Weighing scales (%)</t>
  </si>
  <si>
    <t>Coverage - Weighing scale (%)</t>
  </si>
  <si>
    <t>Need - MUAC Tapes</t>
  </si>
  <si>
    <t>Need - MUAC Tapes (%)</t>
  </si>
  <si>
    <t>Coverage - MUAC Tapes (%)</t>
  </si>
  <si>
    <t>Used scenario: Cost
Extrapolation of regional coverage ratio to facilities without data</t>
  </si>
  <si>
    <r>
      <t xml:space="preserve">Number of facilities who submitted data </t>
    </r>
    <r>
      <rPr>
        <b/>
        <i/>
        <u/>
        <sz val="11"/>
        <color theme="0"/>
        <rFont val="Calibri"/>
        <family val="2"/>
        <scheme val="minor"/>
      </rPr>
      <t>without</t>
    </r>
    <r>
      <rPr>
        <b/>
        <i/>
        <sz val="11"/>
        <color theme="0"/>
        <rFont val="Calibri"/>
        <family val="2"/>
        <scheme val="minor"/>
      </rPr>
      <t xml:space="preserve"> equipment</t>
    </r>
  </si>
  <si>
    <t>Used scenario: Equipment coverage and need
Extrapolation of regional coverage ratio to facilities without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</si>
</sst>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._-;\-* #,##0.00\ _k_r_._-;_-* &quot;-&quot;??\ _k_r_.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0" fillId="5" borderId="0" applyNumberFormat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6" fillId="3" borderId="0" xfId="0" applyFont="1" applyFill="1"/>
    <xf numFmtId="0" fontId="0" fillId="3" borderId="2" xfId="0" applyFill="1" applyBorder="1"/>
    <xf numFmtId="0" fontId="6" fillId="3" borderId="2" xfId="0" applyFont="1" applyFill="1" applyBorder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6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6" fillId="3" borderId="0" xfId="0" applyFont="1" applyFill="1" applyBorder="1" applyAlignment="1">
      <alignment horizontal="center"/>
    </xf>
    <xf numFmtId="9" fontId="0" fillId="3" borderId="0" xfId="2" applyFont="1" applyFill="1" applyBorder="1" applyAlignment="1">
      <alignment horizontal="center"/>
    </xf>
    <xf numFmtId="9" fontId="0" fillId="3" borderId="0" xfId="2" applyFont="1" applyFill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2" fillId="2" borderId="0" xfId="3"/>
    <xf numFmtId="0" fontId="4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top" wrapText="1"/>
    </xf>
    <xf numFmtId="9" fontId="0" fillId="3" borderId="2" xfId="2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5" fontId="4" fillId="3" borderId="0" xfId="1" applyNumberFormat="1" applyFont="1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4" fillId="3" borderId="0" xfId="0" applyFont="1" applyFill="1" applyBorder="1"/>
    <xf numFmtId="9" fontId="4" fillId="3" borderId="0" xfId="0" applyNumberFormat="1" applyFont="1" applyFill="1" applyBorder="1" applyAlignment="1">
      <alignment horizontal="center"/>
    </xf>
    <xf numFmtId="9" fontId="4" fillId="3" borderId="2" xfId="0" applyNumberFormat="1" applyFont="1" applyFill="1" applyBorder="1" applyAlignment="1">
      <alignment horizontal="center"/>
    </xf>
    <xf numFmtId="9" fontId="4" fillId="3" borderId="0" xfId="2" applyFont="1" applyFill="1" applyBorder="1" applyAlignment="1">
      <alignment horizontal="center"/>
    </xf>
    <xf numFmtId="9" fontId="4" fillId="3" borderId="2" xfId="2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0" fillId="5" borderId="0" xfId="4"/>
    <xf numFmtId="0" fontId="8" fillId="4" borderId="0" xfId="0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right"/>
    </xf>
    <xf numFmtId="165" fontId="1" fillId="3" borderId="0" xfId="1" applyNumberFormat="1" applyFont="1" applyFill="1" applyBorder="1" applyAlignment="1">
      <alignment horizontal="right"/>
    </xf>
    <xf numFmtId="165" fontId="4" fillId="3" borderId="4" xfId="1" applyNumberFormat="1" applyFont="1" applyFill="1" applyBorder="1" applyAlignment="1">
      <alignment horizontal="right"/>
    </xf>
    <xf numFmtId="0" fontId="0" fillId="6" borderId="0" xfId="0" applyFill="1"/>
    <xf numFmtId="9" fontId="0" fillId="6" borderId="0" xfId="2" applyFont="1" applyFill="1" applyAlignment="1">
      <alignment horizontal="center"/>
    </xf>
    <xf numFmtId="0" fontId="0" fillId="6" borderId="0" xfId="0" applyFill="1" applyAlignment="1">
      <alignment horizontal="center"/>
    </xf>
    <xf numFmtId="9" fontId="0" fillId="6" borderId="2" xfId="2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right"/>
    </xf>
    <xf numFmtId="0" fontId="0" fillId="6" borderId="0" xfId="0" applyFill="1" applyBorder="1"/>
    <xf numFmtId="9" fontId="0" fillId="6" borderId="0" xfId="0" applyNumberForma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1" fillId="3" borderId="2" xfId="2" applyFont="1" applyFill="1" applyBorder="1" applyAlignment="1">
      <alignment horizontal="center"/>
    </xf>
    <xf numFmtId="9" fontId="1" fillId="6" borderId="0" xfId="2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65" fontId="1" fillId="3" borderId="4" xfId="1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center"/>
    </xf>
    <xf numFmtId="1" fontId="0" fillId="6" borderId="0" xfId="0" applyNumberFormat="1" applyFont="1" applyFill="1" applyBorder="1" applyAlignment="1">
      <alignment horizontal="center"/>
    </xf>
    <xf numFmtId="165" fontId="1" fillId="6" borderId="4" xfId="1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0" fontId="0" fillId="6" borderId="4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6" borderId="2" xfId="1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165" fontId="4" fillId="3" borderId="6" xfId="1" applyNumberFormat="1" applyFont="1" applyFill="1" applyBorder="1" applyAlignment="1">
      <alignment horizontal="right"/>
    </xf>
    <xf numFmtId="0" fontId="4" fillId="0" borderId="0" xfId="0" applyFont="1" applyFill="1"/>
    <xf numFmtId="0" fontId="4" fillId="6" borderId="0" xfId="3" applyFont="1" applyFill="1"/>
    <xf numFmtId="0" fontId="4" fillId="0" borderId="0" xfId="3" applyFont="1" applyFill="1"/>
    <xf numFmtId="0" fontId="4" fillId="6" borderId="0" xfId="0" applyFont="1" applyFill="1"/>
    <xf numFmtId="0" fontId="4" fillId="0" borderId="0" xfId="3" applyFont="1" applyFill="1" applyBorder="1"/>
    <xf numFmtId="0" fontId="4" fillId="0" borderId="0" xfId="0" applyFont="1" applyFill="1" applyBorder="1"/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</cellXfs>
  <cellStyles count="5">
    <cellStyle name="Bad" xfId="3" builtinId="27"/>
    <cellStyle name="Comma" xfId="1" builtinId="3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796875" defaultRowHeight="14.5" x14ac:dyDescent="0.35"/>
  <cols>
    <col min="1" max="1" width="2" style="1" customWidth="1"/>
    <col min="2" max="2" width="15" style="1" bestFit="1" customWidth="1"/>
    <col min="3" max="3" width="12.1796875" style="5" bestFit="1" customWidth="1"/>
    <col min="4" max="4" width="9.1796875" style="5" customWidth="1"/>
    <col min="5" max="5" width="10.54296875" style="5" customWidth="1"/>
    <col min="6" max="6" width="10.6328125" style="6" bestFit="1" customWidth="1"/>
    <col min="7" max="7" width="10.453125" style="9" customWidth="1"/>
    <col min="8" max="8" width="10.453125" style="1" customWidth="1"/>
    <col min="9" max="9" width="10.453125" style="3" customWidth="1"/>
    <col min="10" max="10" width="10.26953125" style="9" hidden="1" customWidth="1"/>
    <col min="11" max="11" width="10.26953125" style="7" hidden="1" customWidth="1"/>
    <col min="12" max="12" width="10.26953125" style="1" hidden="1" customWidth="1"/>
    <col min="13" max="13" width="10.26953125" style="2" hidden="1" customWidth="1"/>
    <col min="14" max="14" width="10.26953125" style="9" hidden="1" customWidth="1"/>
    <col min="15" max="15" width="10.26953125" style="4" hidden="1" customWidth="1"/>
    <col min="16" max="16" width="14.26953125" style="8" hidden="1" customWidth="1"/>
    <col min="17" max="17" width="15.81640625" style="1" hidden="1" customWidth="1"/>
    <col min="18" max="18" width="15" style="9" hidden="1" customWidth="1"/>
    <col min="19" max="19" width="14.1796875" style="3" hidden="1" customWidth="1"/>
    <col min="20" max="20" width="10.1796875" style="11" customWidth="1"/>
    <col min="21" max="22" width="10.1796875" style="7" customWidth="1"/>
    <col min="23" max="23" width="10.1796875" style="1" customWidth="1"/>
    <col min="24" max="25" width="10.1796875" style="2" customWidth="1"/>
    <col min="26" max="26" width="10.1796875" style="9" customWidth="1"/>
    <col min="27" max="28" width="10.1796875" style="7" customWidth="1"/>
    <col min="29" max="29" width="15.453125" style="11" customWidth="1"/>
    <col min="30" max="30" width="15.453125" style="1" customWidth="1"/>
    <col min="31" max="31" width="15.453125" style="9" customWidth="1"/>
    <col min="32" max="32" width="15.453125" style="3" customWidth="1"/>
    <col min="33" max="16384" width="9.1796875" style="1"/>
  </cols>
  <sheetData>
    <row r="1" spans="1:32" s="33" customFormat="1" ht="55.5" customHeight="1" x14ac:dyDescent="0.35">
      <c r="A1" s="31"/>
      <c r="B1" s="31"/>
      <c r="C1" s="32"/>
      <c r="D1" s="32"/>
      <c r="E1" s="32"/>
      <c r="F1" s="32"/>
      <c r="G1" s="97" t="s">
        <v>70</v>
      </c>
      <c r="H1" s="98"/>
      <c r="I1" s="98"/>
      <c r="J1" s="97" t="s">
        <v>58</v>
      </c>
      <c r="K1" s="97"/>
      <c r="L1" s="97"/>
      <c r="M1" s="97"/>
      <c r="N1" s="97"/>
      <c r="O1" s="97"/>
      <c r="P1" s="97" t="s">
        <v>59</v>
      </c>
      <c r="Q1" s="98"/>
      <c r="R1" s="98"/>
      <c r="S1" s="98"/>
      <c r="T1" s="97" t="s">
        <v>71</v>
      </c>
      <c r="U1" s="97"/>
      <c r="V1" s="97"/>
      <c r="W1" s="97"/>
      <c r="X1" s="97"/>
      <c r="Y1" s="97"/>
      <c r="Z1" s="97"/>
      <c r="AA1" s="97"/>
      <c r="AB1" s="44"/>
      <c r="AC1" s="97" t="s">
        <v>69</v>
      </c>
      <c r="AD1" s="98"/>
      <c r="AE1" s="98"/>
      <c r="AF1" s="98"/>
    </row>
    <row r="2" spans="1:32" s="15" customFormat="1" ht="71.5" customHeight="1" x14ac:dyDescent="0.35">
      <c r="B2" s="15" t="s">
        <v>56</v>
      </c>
      <c r="C2" s="15" t="s">
        <v>55</v>
      </c>
      <c r="D2" s="15" t="s">
        <v>52</v>
      </c>
      <c r="E2" s="15" t="s">
        <v>53</v>
      </c>
      <c r="F2" s="15" t="s">
        <v>54</v>
      </c>
      <c r="G2" s="16" t="s">
        <v>29</v>
      </c>
      <c r="H2" s="15" t="s">
        <v>57</v>
      </c>
      <c r="I2" s="24" t="s">
        <v>28</v>
      </c>
      <c r="J2" s="15" t="s">
        <v>29</v>
      </c>
      <c r="K2" s="15" t="s">
        <v>30</v>
      </c>
      <c r="L2" s="15" t="s">
        <v>57</v>
      </c>
      <c r="M2" s="15" t="s">
        <v>31</v>
      </c>
      <c r="N2" s="15" t="s">
        <v>28</v>
      </c>
      <c r="O2" s="24" t="s">
        <v>32</v>
      </c>
      <c r="P2" s="15" t="s">
        <v>41</v>
      </c>
      <c r="Q2" s="15" t="s">
        <v>42</v>
      </c>
      <c r="R2" s="15" t="s">
        <v>43</v>
      </c>
      <c r="S2" s="24" t="s">
        <v>27</v>
      </c>
      <c r="T2" s="16" t="s">
        <v>60</v>
      </c>
      <c r="U2" s="15" t="s">
        <v>61</v>
      </c>
      <c r="V2" s="15" t="s">
        <v>62</v>
      </c>
      <c r="W2" s="15" t="s">
        <v>63</v>
      </c>
      <c r="X2" s="15" t="s">
        <v>64</v>
      </c>
      <c r="Y2" s="15" t="s">
        <v>65</v>
      </c>
      <c r="Z2" s="15" t="s">
        <v>66</v>
      </c>
      <c r="AA2" s="15" t="s">
        <v>67</v>
      </c>
      <c r="AB2" s="15" t="s">
        <v>68</v>
      </c>
      <c r="AC2" s="16" t="s">
        <v>41</v>
      </c>
      <c r="AD2" s="15" t="s">
        <v>42</v>
      </c>
      <c r="AE2" s="15" t="s">
        <v>43</v>
      </c>
      <c r="AF2" s="24" t="s">
        <v>27</v>
      </c>
    </row>
    <row r="3" spans="1:32" s="19" customFormat="1" ht="19.5" customHeight="1" x14ac:dyDescent="0.35">
      <c r="A3" s="18"/>
      <c r="B3" s="18"/>
      <c r="C3" s="18"/>
      <c r="D3" s="18"/>
      <c r="E3" s="18"/>
      <c r="F3" s="25"/>
      <c r="G3" s="18"/>
      <c r="H3" s="18"/>
      <c r="I3" s="25"/>
      <c r="J3" s="18"/>
      <c r="K3" s="18"/>
      <c r="L3" s="18"/>
      <c r="M3" s="18"/>
      <c r="N3" s="18"/>
      <c r="O3" s="25"/>
      <c r="P3" s="18">
        <v>125</v>
      </c>
      <c r="Q3" s="18">
        <v>169</v>
      </c>
      <c r="R3" s="18">
        <v>5</v>
      </c>
      <c r="S3" s="25"/>
      <c r="T3" s="17"/>
      <c r="U3" s="18"/>
      <c r="V3" s="18"/>
      <c r="W3" s="18"/>
      <c r="X3" s="18"/>
      <c r="Y3" s="18"/>
      <c r="Z3" s="18"/>
      <c r="AC3" s="17">
        <f>P3</f>
        <v>125</v>
      </c>
      <c r="AD3" s="18">
        <f>Q3</f>
        <v>169</v>
      </c>
      <c r="AE3" s="18">
        <f>R3</f>
        <v>5</v>
      </c>
      <c r="AF3" s="25"/>
    </row>
    <row r="4" spans="1:32" s="9" customFormat="1" x14ac:dyDescent="0.35">
      <c r="A4" s="1"/>
      <c r="B4" s="91" t="s">
        <v>1</v>
      </c>
      <c r="C4" s="14">
        <v>0.28999999999999998</v>
      </c>
      <c r="D4" s="5">
        <v>414</v>
      </c>
      <c r="E4" s="5">
        <v>263</v>
      </c>
      <c r="F4" s="26">
        <f t="shared" ref="F4:F20" si="0">E4/D4</f>
        <v>0.63526570048309183</v>
      </c>
      <c r="G4" s="8">
        <v>189</v>
      </c>
      <c r="H4" s="5">
        <v>5</v>
      </c>
      <c r="I4" s="6">
        <v>28</v>
      </c>
      <c r="J4" s="57">
        <f t="shared" ref="J4:J20" si="1">($D4-$E4)+G4</f>
        <v>340</v>
      </c>
      <c r="K4" s="64">
        <f t="shared" ref="K4:K20" si="2">J4/D4</f>
        <v>0.82125603864734298</v>
      </c>
      <c r="L4" s="58">
        <f t="shared" ref="L4:L20" si="3">($D4-$E4)+H4</f>
        <v>156</v>
      </c>
      <c r="M4" s="64">
        <f t="shared" ref="M4:M20" si="4">L4/D4</f>
        <v>0.37681159420289856</v>
      </c>
      <c r="N4" s="57">
        <f>($D4-$E4)+I4</f>
        <v>179</v>
      </c>
      <c r="O4" s="65">
        <f>N4/D4</f>
        <v>0.43236714975845408</v>
      </c>
      <c r="P4" s="46">
        <f t="shared" ref="P4:P20" si="5">J4*$P$3</f>
        <v>42500</v>
      </c>
      <c r="Q4" s="46">
        <f t="shared" ref="Q4:Q20" si="6">L4*$Q$3</f>
        <v>26364</v>
      </c>
      <c r="R4" s="46">
        <f>N4*$R$3</f>
        <v>895</v>
      </c>
      <c r="S4" s="85">
        <f t="shared" ref="S4:S20" si="7">SUM(P4:R4)</f>
        <v>69759</v>
      </c>
      <c r="T4" s="69">
        <f t="shared" ref="T4:T20" si="8">(G4/$E4)*$D4</f>
        <v>297.51330798479091</v>
      </c>
      <c r="U4" s="64">
        <f t="shared" ref="U4:U20" si="9">T4/D4</f>
        <v>0.71863117870722448</v>
      </c>
      <c r="V4" s="64">
        <f>1-U4</f>
        <v>0.28136882129277552</v>
      </c>
      <c r="W4" s="70">
        <f t="shared" ref="W4:W20" si="10">(H4/$E4)*$D4</f>
        <v>7.8707224334600756</v>
      </c>
      <c r="X4" s="64">
        <f t="shared" ref="X4:X20" si="11">W4/D4</f>
        <v>1.9011406844106463E-2</v>
      </c>
      <c r="Y4" s="64">
        <f>1-X4</f>
        <v>0.98098859315589348</v>
      </c>
      <c r="Z4" s="70">
        <f>(I4/$E4)*$D4</f>
        <v>44.076045627376423</v>
      </c>
      <c r="AA4" s="64">
        <f>Z4/D4</f>
        <v>0.10646387832699619</v>
      </c>
      <c r="AB4" s="64">
        <f>1-AA4</f>
        <v>0.89353612167300378</v>
      </c>
      <c r="AC4" s="71">
        <f t="shared" ref="AC4:AC20" si="12">T4*$P$3</f>
        <v>37189.163498098867</v>
      </c>
      <c r="AD4" s="46">
        <f t="shared" ref="AD4:AD20" si="13">W4*$Q$3</f>
        <v>1330.1520912547528</v>
      </c>
      <c r="AE4" s="46">
        <f>Z4*$R$3</f>
        <v>220.38022813688212</v>
      </c>
      <c r="AF4" s="85">
        <f t="shared" ref="AF4:AF20" si="14">SUM(AC4:AE4)</f>
        <v>38739.695817490501</v>
      </c>
    </row>
    <row r="5" spans="1:32" s="55" customFormat="1" x14ac:dyDescent="0.35">
      <c r="A5" s="48"/>
      <c r="B5" s="92" t="s">
        <v>25</v>
      </c>
      <c r="C5" s="49">
        <v>0.16</v>
      </c>
      <c r="D5" s="50">
        <v>705</v>
      </c>
      <c r="E5" s="50">
        <v>174</v>
      </c>
      <c r="F5" s="51">
        <f t="shared" si="0"/>
        <v>0.24680851063829787</v>
      </c>
      <c r="G5" s="52">
        <v>39</v>
      </c>
      <c r="H5" s="50">
        <v>2</v>
      </c>
      <c r="I5" s="53">
        <v>9</v>
      </c>
      <c r="J5" s="59">
        <f t="shared" si="1"/>
        <v>570</v>
      </c>
      <c r="K5" s="66">
        <f t="shared" si="2"/>
        <v>0.80851063829787229</v>
      </c>
      <c r="L5" s="60">
        <f t="shared" si="3"/>
        <v>533</v>
      </c>
      <c r="M5" s="66">
        <f t="shared" si="4"/>
        <v>0.75602836879432622</v>
      </c>
      <c r="N5" s="59">
        <f>($D5-$E5)+I5</f>
        <v>540</v>
      </c>
      <c r="O5" s="67">
        <f>N5/D5</f>
        <v>0.76595744680851063</v>
      </c>
      <c r="P5" s="54">
        <f t="shared" si="5"/>
        <v>71250</v>
      </c>
      <c r="Q5" s="54">
        <f t="shared" si="6"/>
        <v>90077</v>
      </c>
      <c r="R5" s="54">
        <f>N5*$R$3</f>
        <v>2700</v>
      </c>
      <c r="S5" s="86">
        <f t="shared" si="7"/>
        <v>164027</v>
      </c>
      <c r="T5" s="72">
        <f t="shared" si="8"/>
        <v>158.01724137931035</v>
      </c>
      <c r="U5" s="66">
        <f t="shared" si="9"/>
        <v>0.22413793103448276</v>
      </c>
      <c r="V5" s="66">
        <f t="shared" ref="V5:V31" si="15">1-U5</f>
        <v>0.77586206896551724</v>
      </c>
      <c r="W5" s="73">
        <f t="shared" si="10"/>
        <v>8.1034482758620694</v>
      </c>
      <c r="X5" s="66">
        <f t="shared" si="11"/>
        <v>1.1494252873563218E-2</v>
      </c>
      <c r="Y5" s="66">
        <f t="shared" ref="Y5:Y31" si="16">1-X5</f>
        <v>0.9885057471264368</v>
      </c>
      <c r="Z5" s="73">
        <f>(I5/$E5)*$D5</f>
        <v>36.46551724137931</v>
      </c>
      <c r="AA5" s="66">
        <f>Z5/D5</f>
        <v>5.1724137931034482E-2</v>
      </c>
      <c r="AB5" s="66">
        <f t="shared" ref="AB5:AB31" si="17">1-AA5</f>
        <v>0.94827586206896552</v>
      </c>
      <c r="AC5" s="74">
        <f t="shared" si="12"/>
        <v>19752.155172413793</v>
      </c>
      <c r="AD5" s="54">
        <f t="shared" si="13"/>
        <v>1369.4827586206898</v>
      </c>
      <c r="AE5" s="54">
        <f>Z5*$R$3</f>
        <v>182.32758620689654</v>
      </c>
      <c r="AF5" s="86">
        <f t="shared" si="14"/>
        <v>21303.965517241377</v>
      </c>
    </row>
    <row r="6" spans="1:32" x14ac:dyDescent="0.35">
      <c r="B6" s="93" t="s">
        <v>0</v>
      </c>
      <c r="C6" s="14">
        <v>0.45</v>
      </c>
      <c r="D6" s="5">
        <v>385</v>
      </c>
      <c r="E6" s="5">
        <v>169</v>
      </c>
      <c r="F6" s="26">
        <f t="shared" si="0"/>
        <v>0.43896103896103894</v>
      </c>
      <c r="G6" s="8">
        <v>154</v>
      </c>
      <c r="H6" s="5">
        <v>0</v>
      </c>
      <c r="I6" s="6">
        <v>3</v>
      </c>
      <c r="J6" s="57">
        <f t="shared" si="1"/>
        <v>370</v>
      </c>
      <c r="K6" s="64">
        <f t="shared" si="2"/>
        <v>0.96103896103896103</v>
      </c>
      <c r="L6" s="58">
        <f t="shared" si="3"/>
        <v>216</v>
      </c>
      <c r="M6" s="64">
        <f t="shared" si="4"/>
        <v>0.561038961038961</v>
      </c>
      <c r="N6" s="57">
        <f>($D6-$E6)+I6</f>
        <v>219</v>
      </c>
      <c r="O6" s="65">
        <f>N6/D6</f>
        <v>0.5688311688311688</v>
      </c>
      <c r="P6" s="46">
        <f t="shared" si="5"/>
        <v>46250</v>
      </c>
      <c r="Q6" s="46">
        <f t="shared" si="6"/>
        <v>36504</v>
      </c>
      <c r="R6" s="46">
        <f>N6*$R$3</f>
        <v>1095</v>
      </c>
      <c r="S6" s="85">
        <f t="shared" si="7"/>
        <v>83849</v>
      </c>
      <c r="T6" s="69">
        <f t="shared" si="8"/>
        <v>350.82840236686388</v>
      </c>
      <c r="U6" s="64">
        <f t="shared" si="9"/>
        <v>0.91124260355029585</v>
      </c>
      <c r="V6" s="64">
        <f t="shared" si="15"/>
        <v>8.8757396449704151E-2</v>
      </c>
      <c r="W6" s="70">
        <f t="shared" si="10"/>
        <v>0</v>
      </c>
      <c r="X6" s="64">
        <f t="shared" si="11"/>
        <v>0</v>
      </c>
      <c r="Y6" s="64">
        <f t="shared" si="16"/>
        <v>1</v>
      </c>
      <c r="Z6" s="70">
        <f>(I6/$E6)*$D6</f>
        <v>6.834319526627219</v>
      </c>
      <c r="AA6" s="64">
        <f>Z6/D6</f>
        <v>1.7751479289940829E-2</v>
      </c>
      <c r="AB6" s="64">
        <f t="shared" si="17"/>
        <v>0.98224852071005919</v>
      </c>
      <c r="AC6" s="71">
        <f t="shared" si="12"/>
        <v>43853.550295857989</v>
      </c>
      <c r="AD6" s="46">
        <f t="shared" si="13"/>
        <v>0</v>
      </c>
      <c r="AE6" s="46">
        <f>Z6*$R$3</f>
        <v>34.171597633136095</v>
      </c>
      <c r="AF6" s="85">
        <f t="shared" si="14"/>
        <v>43887.721893491122</v>
      </c>
    </row>
    <row r="7" spans="1:32" s="48" customFormat="1" x14ac:dyDescent="0.35">
      <c r="B7" s="94" t="s">
        <v>23</v>
      </c>
      <c r="C7" s="49">
        <v>0.46</v>
      </c>
      <c r="D7" s="50">
        <v>166</v>
      </c>
      <c r="E7" s="50">
        <v>103</v>
      </c>
      <c r="F7" s="51">
        <f t="shared" si="0"/>
        <v>0.62048192771084343</v>
      </c>
      <c r="G7" s="52">
        <v>82</v>
      </c>
      <c r="H7" s="50">
        <v>2</v>
      </c>
      <c r="I7" s="53">
        <v>67</v>
      </c>
      <c r="J7" s="59">
        <f t="shared" si="1"/>
        <v>145</v>
      </c>
      <c r="K7" s="66">
        <f t="shared" si="2"/>
        <v>0.87349397590361444</v>
      </c>
      <c r="L7" s="60">
        <f t="shared" si="3"/>
        <v>65</v>
      </c>
      <c r="M7" s="66">
        <f t="shared" si="4"/>
        <v>0.39156626506024095</v>
      </c>
      <c r="N7" s="59">
        <f>($D7-$E7)+I7</f>
        <v>130</v>
      </c>
      <c r="O7" s="67">
        <f>N7/D7</f>
        <v>0.7831325301204819</v>
      </c>
      <c r="P7" s="54">
        <f t="shared" si="5"/>
        <v>18125</v>
      </c>
      <c r="Q7" s="54">
        <f t="shared" si="6"/>
        <v>10985</v>
      </c>
      <c r="R7" s="54">
        <f>N7*$R$3</f>
        <v>650</v>
      </c>
      <c r="S7" s="86">
        <f t="shared" si="7"/>
        <v>29760</v>
      </c>
      <c r="T7" s="72">
        <f t="shared" si="8"/>
        <v>132.15533980582524</v>
      </c>
      <c r="U7" s="66">
        <f t="shared" si="9"/>
        <v>0.79611650485436891</v>
      </c>
      <c r="V7" s="66">
        <f t="shared" si="15"/>
        <v>0.20388349514563109</v>
      </c>
      <c r="W7" s="73">
        <f t="shared" si="10"/>
        <v>3.2233009708737863</v>
      </c>
      <c r="X7" s="66">
        <f t="shared" si="11"/>
        <v>1.9417475728155338E-2</v>
      </c>
      <c r="Y7" s="66">
        <f t="shared" si="16"/>
        <v>0.98058252427184467</v>
      </c>
      <c r="Z7" s="73">
        <f>(I7/$E7)*$D7</f>
        <v>107.98058252427185</v>
      </c>
      <c r="AA7" s="66">
        <f>Z7/D7</f>
        <v>0.65048543689320393</v>
      </c>
      <c r="AB7" s="66">
        <f t="shared" si="17"/>
        <v>0.34951456310679607</v>
      </c>
      <c r="AC7" s="74">
        <f t="shared" si="12"/>
        <v>16519.417475728154</v>
      </c>
      <c r="AD7" s="54">
        <f t="shared" si="13"/>
        <v>544.73786407766988</v>
      </c>
      <c r="AE7" s="54">
        <f>Z7*$R$3</f>
        <v>539.90291262135929</v>
      </c>
      <c r="AF7" s="86">
        <f t="shared" si="14"/>
        <v>17604.058252427185</v>
      </c>
    </row>
    <row r="8" spans="1:32" x14ac:dyDescent="0.35">
      <c r="A8" s="9"/>
      <c r="B8" s="95" t="s">
        <v>9</v>
      </c>
      <c r="C8" s="13">
        <v>0.52</v>
      </c>
      <c r="D8" s="8">
        <v>263</v>
      </c>
      <c r="E8" s="8">
        <v>76</v>
      </c>
      <c r="F8" s="26">
        <f t="shared" si="0"/>
        <v>0.28897338403041822</v>
      </c>
      <c r="G8" s="8">
        <v>2</v>
      </c>
      <c r="H8" s="8">
        <v>23</v>
      </c>
      <c r="I8" s="6" t="s">
        <v>26</v>
      </c>
      <c r="J8" s="57">
        <f t="shared" si="1"/>
        <v>189</v>
      </c>
      <c r="K8" s="64">
        <f t="shared" si="2"/>
        <v>0.71863117870722437</v>
      </c>
      <c r="L8" s="58">
        <f t="shared" si="3"/>
        <v>210</v>
      </c>
      <c r="M8" s="64">
        <f t="shared" si="4"/>
        <v>0.79847908745247154</v>
      </c>
      <c r="N8" s="57" t="s">
        <v>26</v>
      </c>
      <c r="O8" s="65" t="s">
        <v>26</v>
      </c>
      <c r="P8" s="46">
        <f t="shared" si="5"/>
        <v>23625</v>
      </c>
      <c r="Q8" s="46">
        <f t="shared" si="6"/>
        <v>35490</v>
      </c>
      <c r="R8" s="75" t="s">
        <v>26</v>
      </c>
      <c r="S8" s="85">
        <f t="shared" si="7"/>
        <v>59115</v>
      </c>
      <c r="T8" s="69">
        <f t="shared" si="8"/>
        <v>6.9210526315789469</v>
      </c>
      <c r="U8" s="64">
        <f t="shared" si="9"/>
        <v>2.6315789473684209E-2</v>
      </c>
      <c r="V8" s="64">
        <f t="shared" si="15"/>
        <v>0.97368421052631582</v>
      </c>
      <c r="W8" s="70">
        <f t="shared" si="10"/>
        <v>79.59210526315789</v>
      </c>
      <c r="X8" s="64">
        <f t="shared" si="11"/>
        <v>0.30263157894736842</v>
      </c>
      <c r="Y8" s="64">
        <f t="shared" si="16"/>
        <v>0.69736842105263164</v>
      </c>
      <c r="Z8" s="57" t="s">
        <v>26</v>
      </c>
      <c r="AA8" s="57" t="s">
        <v>26</v>
      </c>
      <c r="AB8" s="58" t="s">
        <v>26</v>
      </c>
      <c r="AC8" s="71">
        <f t="shared" si="12"/>
        <v>865.13157894736833</v>
      </c>
      <c r="AD8" s="46">
        <f t="shared" si="13"/>
        <v>13451.065789473683</v>
      </c>
      <c r="AE8" s="75" t="s">
        <v>26</v>
      </c>
      <c r="AF8" s="85">
        <f t="shared" si="14"/>
        <v>14316.197368421052</v>
      </c>
    </row>
    <row r="9" spans="1:32" s="48" customFormat="1" x14ac:dyDescent="0.35">
      <c r="B9" s="94" t="s">
        <v>16</v>
      </c>
      <c r="C9" s="49">
        <v>0.52</v>
      </c>
      <c r="D9" s="50">
        <v>318</v>
      </c>
      <c r="E9" s="50">
        <v>241</v>
      </c>
      <c r="F9" s="51">
        <f t="shared" si="0"/>
        <v>0.75786163522012584</v>
      </c>
      <c r="G9" s="52">
        <v>198</v>
      </c>
      <c r="H9" s="50">
        <v>7</v>
      </c>
      <c r="I9" s="53">
        <v>6</v>
      </c>
      <c r="J9" s="59">
        <f t="shared" si="1"/>
        <v>275</v>
      </c>
      <c r="K9" s="66">
        <f t="shared" si="2"/>
        <v>0.86477987421383651</v>
      </c>
      <c r="L9" s="60">
        <f t="shared" si="3"/>
        <v>84</v>
      </c>
      <c r="M9" s="66">
        <f t="shared" si="4"/>
        <v>0.26415094339622641</v>
      </c>
      <c r="N9" s="59">
        <f t="shared" ref="N9:N20" si="18">($D9-$E9)+I9</f>
        <v>83</v>
      </c>
      <c r="O9" s="67">
        <f t="shared" ref="O9:O20" si="19">N9/D9</f>
        <v>0.2610062893081761</v>
      </c>
      <c r="P9" s="54">
        <f t="shared" si="5"/>
        <v>34375</v>
      </c>
      <c r="Q9" s="54">
        <f t="shared" si="6"/>
        <v>14196</v>
      </c>
      <c r="R9" s="54">
        <f t="shared" ref="R9:R20" si="20">N9*$R$3</f>
        <v>415</v>
      </c>
      <c r="S9" s="86">
        <f t="shared" si="7"/>
        <v>48986</v>
      </c>
      <c r="T9" s="72">
        <f t="shared" si="8"/>
        <v>261.26141078838174</v>
      </c>
      <c r="U9" s="66">
        <f t="shared" si="9"/>
        <v>0.82157676348547715</v>
      </c>
      <c r="V9" s="66">
        <f t="shared" si="15"/>
        <v>0.17842323651452285</v>
      </c>
      <c r="W9" s="73">
        <f t="shared" si="10"/>
        <v>9.2365145228215777</v>
      </c>
      <c r="X9" s="66">
        <f t="shared" si="11"/>
        <v>2.9045643153526975E-2</v>
      </c>
      <c r="Y9" s="66">
        <f t="shared" si="16"/>
        <v>0.97095435684647302</v>
      </c>
      <c r="Z9" s="73">
        <f t="shared" ref="Z9:Z20" si="21">(I9/$E9)*$D9</f>
        <v>7.9170124481327795</v>
      </c>
      <c r="AA9" s="66">
        <f t="shared" ref="AA9:AA20" si="22">Z9/D9</f>
        <v>2.4896265560165973E-2</v>
      </c>
      <c r="AB9" s="66">
        <f t="shared" si="17"/>
        <v>0.975103734439834</v>
      </c>
      <c r="AC9" s="74">
        <f t="shared" si="12"/>
        <v>32657.676348547717</v>
      </c>
      <c r="AD9" s="54">
        <f t="shared" si="13"/>
        <v>1560.9709543568467</v>
      </c>
      <c r="AE9" s="54">
        <f t="shared" ref="AE9:AE20" si="23">Z9*$R$3</f>
        <v>39.585062240663895</v>
      </c>
      <c r="AF9" s="86">
        <f t="shared" si="14"/>
        <v>34258.232365145232</v>
      </c>
    </row>
    <row r="10" spans="1:32" x14ac:dyDescent="0.35">
      <c r="B10" s="91" t="s">
        <v>21</v>
      </c>
      <c r="C10" s="14">
        <v>0.44</v>
      </c>
      <c r="D10" s="5">
        <v>90</v>
      </c>
      <c r="E10" s="5">
        <v>74</v>
      </c>
      <c r="F10" s="26">
        <f t="shared" si="0"/>
        <v>0.82222222222222219</v>
      </c>
      <c r="G10" s="8">
        <v>29</v>
      </c>
      <c r="H10" s="5">
        <v>0</v>
      </c>
      <c r="I10" s="6">
        <v>23</v>
      </c>
      <c r="J10" s="57">
        <f t="shared" si="1"/>
        <v>45</v>
      </c>
      <c r="K10" s="64">
        <f t="shared" si="2"/>
        <v>0.5</v>
      </c>
      <c r="L10" s="58">
        <f t="shared" si="3"/>
        <v>16</v>
      </c>
      <c r="M10" s="64">
        <f t="shared" si="4"/>
        <v>0.17777777777777778</v>
      </c>
      <c r="N10" s="57">
        <f t="shared" si="18"/>
        <v>39</v>
      </c>
      <c r="O10" s="65">
        <f t="shared" si="19"/>
        <v>0.43333333333333335</v>
      </c>
      <c r="P10" s="46">
        <f t="shared" si="5"/>
        <v>5625</v>
      </c>
      <c r="Q10" s="46">
        <f t="shared" si="6"/>
        <v>2704</v>
      </c>
      <c r="R10" s="46">
        <f t="shared" si="20"/>
        <v>195</v>
      </c>
      <c r="S10" s="85">
        <f t="shared" si="7"/>
        <v>8524</v>
      </c>
      <c r="T10" s="69">
        <f t="shared" si="8"/>
        <v>35.270270270270267</v>
      </c>
      <c r="U10" s="64">
        <f t="shared" si="9"/>
        <v>0.39189189189189183</v>
      </c>
      <c r="V10" s="64">
        <f t="shared" si="15"/>
        <v>0.60810810810810811</v>
      </c>
      <c r="W10" s="70">
        <f t="shared" si="10"/>
        <v>0</v>
      </c>
      <c r="X10" s="64">
        <f t="shared" si="11"/>
        <v>0</v>
      </c>
      <c r="Y10" s="64">
        <f t="shared" si="16"/>
        <v>1</v>
      </c>
      <c r="Z10" s="70">
        <f t="shared" si="21"/>
        <v>27.972972972972972</v>
      </c>
      <c r="AA10" s="64">
        <f t="shared" si="22"/>
        <v>0.3108108108108108</v>
      </c>
      <c r="AB10" s="64">
        <f t="shared" si="17"/>
        <v>0.68918918918918926</v>
      </c>
      <c r="AC10" s="71">
        <f t="shared" si="12"/>
        <v>4408.7837837837833</v>
      </c>
      <c r="AD10" s="46">
        <f t="shared" si="13"/>
        <v>0</v>
      </c>
      <c r="AE10" s="46">
        <f t="shared" si="23"/>
        <v>139.86486486486487</v>
      </c>
      <c r="AF10" s="85">
        <f t="shared" si="14"/>
        <v>4548.6486486486483</v>
      </c>
    </row>
    <row r="11" spans="1:32" s="48" customFormat="1" x14ac:dyDescent="0.35">
      <c r="B11" s="94" t="s">
        <v>14</v>
      </c>
      <c r="C11" s="49">
        <v>0.48</v>
      </c>
      <c r="D11" s="50">
        <v>281</v>
      </c>
      <c r="E11" s="50">
        <v>190</v>
      </c>
      <c r="F11" s="51">
        <f t="shared" si="0"/>
        <v>0.67615658362989328</v>
      </c>
      <c r="G11" s="52">
        <v>130</v>
      </c>
      <c r="H11" s="50">
        <v>2</v>
      </c>
      <c r="I11" s="53">
        <v>25</v>
      </c>
      <c r="J11" s="59">
        <f t="shared" si="1"/>
        <v>221</v>
      </c>
      <c r="K11" s="66">
        <f t="shared" si="2"/>
        <v>0.78647686832740216</v>
      </c>
      <c r="L11" s="60">
        <f t="shared" si="3"/>
        <v>93</v>
      </c>
      <c r="M11" s="66">
        <f t="shared" si="4"/>
        <v>0.33096085409252668</v>
      </c>
      <c r="N11" s="59">
        <f t="shared" si="18"/>
        <v>116</v>
      </c>
      <c r="O11" s="67">
        <f t="shared" si="19"/>
        <v>0.41281138790035588</v>
      </c>
      <c r="P11" s="54">
        <f t="shared" si="5"/>
        <v>27625</v>
      </c>
      <c r="Q11" s="54">
        <f t="shared" si="6"/>
        <v>15717</v>
      </c>
      <c r="R11" s="54">
        <f t="shared" si="20"/>
        <v>580</v>
      </c>
      <c r="S11" s="86">
        <f t="shared" si="7"/>
        <v>43922</v>
      </c>
      <c r="T11" s="72">
        <f t="shared" si="8"/>
        <v>192.26315789473685</v>
      </c>
      <c r="U11" s="66">
        <f t="shared" si="9"/>
        <v>0.68421052631578949</v>
      </c>
      <c r="V11" s="66">
        <f t="shared" si="15"/>
        <v>0.31578947368421051</v>
      </c>
      <c r="W11" s="73">
        <f t="shared" si="10"/>
        <v>2.9578947368421051</v>
      </c>
      <c r="X11" s="66">
        <f t="shared" si="11"/>
        <v>1.0526315789473684E-2</v>
      </c>
      <c r="Y11" s="66">
        <f t="shared" si="16"/>
        <v>0.98947368421052628</v>
      </c>
      <c r="Z11" s="73">
        <f t="shared" si="21"/>
        <v>36.973684210526315</v>
      </c>
      <c r="AA11" s="66">
        <f t="shared" si="22"/>
        <v>0.13157894736842105</v>
      </c>
      <c r="AB11" s="66">
        <f t="shared" si="17"/>
        <v>0.86842105263157898</v>
      </c>
      <c r="AC11" s="74">
        <f t="shared" si="12"/>
        <v>24032.894736842107</v>
      </c>
      <c r="AD11" s="54">
        <f t="shared" si="13"/>
        <v>499.88421052631577</v>
      </c>
      <c r="AE11" s="54">
        <f t="shared" si="23"/>
        <v>184.86842105263156</v>
      </c>
      <c r="AF11" s="86">
        <f t="shared" si="14"/>
        <v>24717.647368421054</v>
      </c>
    </row>
    <row r="12" spans="1:32" x14ac:dyDescent="0.35">
      <c r="B12" s="93" t="s">
        <v>2</v>
      </c>
      <c r="C12" s="14">
        <v>0.19</v>
      </c>
      <c r="D12" s="5">
        <v>399</v>
      </c>
      <c r="E12" s="5">
        <v>100</v>
      </c>
      <c r="F12" s="26">
        <f t="shared" si="0"/>
        <v>0.25062656641604009</v>
      </c>
      <c r="G12" s="8">
        <v>73</v>
      </c>
      <c r="H12" s="5">
        <v>0</v>
      </c>
      <c r="I12" s="6">
        <v>0</v>
      </c>
      <c r="J12" s="57">
        <f t="shared" si="1"/>
        <v>372</v>
      </c>
      <c r="K12" s="64">
        <f t="shared" si="2"/>
        <v>0.93233082706766912</v>
      </c>
      <c r="L12" s="58">
        <f t="shared" si="3"/>
        <v>299</v>
      </c>
      <c r="M12" s="64">
        <f t="shared" si="4"/>
        <v>0.74937343358395991</v>
      </c>
      <c r="N12" s="57">
        <f t="shared" si="18"/>
        <v>299</v>
      </c>
      <c r="O12" s="65">
        <f t="shared" si="19"/>
        <v>0.74937343358395991</v>
      </c>
      <c r="P12" s="46">
        <f t="shared" si="5"/>
        <v>46500</v>
      </c>
      <c r="Q12" s="46">
        <f t="shared" si="6"/>
        <v>50531</v>
      </c>
      <c r="R12" s="46">
        <f t="shared" si="20"/>
        <v>1495</v>
      </c>
      <c r="S12" s="85">
        <f t="shared" si="7"/>
        <v>98526</v>
      </c>
      <c r="T12" s="69">
        <f t="shared" si="8"/>
        <v>291.27</v>
      </c>
      <c r="U12" s="64">
        <f t="shared" si="9"/>
        <v>0.73</v>
      </c>
      <c r="V12" s="64">
        <f t="shared" si="15"/>
        <v>0.27</v>
      </c>
      <c r="W12" s="70">
        <f t="shared" si="10"/>
        <v>0</v>
      </c>
      <c r="X12" s="64">
        <f t="shared" si="11"/>
        <v>0</v>
      </c>
      <c r="Y12" s="64">
        <f t="shared" si="16"/>
        <v>1</v>
      </c>
      <c r="Z12" s="70">
        <f t="shared" si="21"/>
        <v>0</v>
      </c>
      <c r="AA12" s="64">
        <f t="shared" si="22"/>
        <v>0</v>
      </c>
      <c r="AB12" s="64">
        <f t="shared" si="17"/>
        <v>1</v>
      </c>
      <c r="AC12" s="71">
        <f t="shared" si="12"/>
        <v>36408.75</v>
      </c>
      <c r="AD12" s="46">
        <f t="shared" si="13"/>
        <v>0</v>
      </c>
      <c r="AE12" s="46">
        <f t="shared" si="23"/>
        <v>0</v>
      </c>
      <c r="AF12" s="85">
        <f t="shared" si="14"/>
        <v>36408.75</v>
      </c>
    </row>
    <row r="13" spans="1:32" s="48" customFormat="1" x14ac:dyDescent="0.35">
      <c r="B13" s="92" t="s">
        <v>6</v>
      </c>
      <c r="C13" s="49">
        <v>0.35</v>
      </c>
      <c r="D13" s="50">
        <v>239</v>
      </c>
      <c r="E13" s="50">
        <v>48</v>
      </c>
      <c r="F13" s="51">
        <f t="shared" si="0"/>
        <v>0.20083682008368201</v>
      </c>
      <c r="G13" s="52">
        <v>0</v>
      </c>
      <c r="H13" s="50">
        <v>0</v>
      </c>
      <c r="I13" s="53">
        <v>0</v>
      </c>
      <c r="J13" s="59">
        <f t="shared" si="1"/>
        <v>191</v>
      </c>
      <c r="K13" s="66">
        <f t="shared" si="2"/>
        <v>0.79916317991631802</v>
      </c>
      <c r="L13" s="60">
        <f t="shared" si="3"/>
        <v>191</v>
      </c>
      <c r="M13" s="66">
        <f t="shared" si="4"/>
        <v>0.79916317991631802</v>
      </c>
      <c r="N13" s="59">
        <f t="shared" si="18"/>
        <v>191</v>
      </c>
      <c r="O13" s="67">
        <f t="shared" si="19"/>
        <v>0.79916317991631802</v>
      </c>
      <c r="P13" s="54">
        <f t="shared" si="5"/>
        <v>23875</v>
      </c>
      <c r="Q13" s="54">
        <f t="shared" si="6"/>
        <v>32279</v>
      </c>
      <c r="R13" s="54">
        <f t="shared" si="20"/>
        <v>955</v>
      </c>
      <c r="S13" s="86">
        <f t="shared" si="7"/>
        <v>57109</v>
      </c>
      <c r="T13" s="72">
        <f t="shared" si="8"/>
        <v>0</v>
      </c>
      <c r="U13" s="66">
        <f t="shared" si="9"/>
        <v>0</v>
      </c>
      <c r="V13" s="66">
        <f t="shared" si="15"/>
        <v>1</v>
      </c>
      <c r="W13" s="73">
        <f t="shared" si="10"/>
        <v>0</v>
      </c>
      <c r="X13" s="66">
        <f t="shared" si="11"/>
        <v>0</v>
      </c>
      <c r="Y13" s="66">
        <f t="shared" si="16"/>
        <v>1</v>
      </c>
      <c r="Z13" s="73">
        <f t="shared" si="21"/>
        <v>0</v>
      </c>
      <c r="AA13" s="66">
        <f t="shared" si="22"/>
        <v>0</v>
      </c>
      <c r="AB13" s="66">
        <f t="shared" si="17"/>
        <v>1</v>
      </c>
      <c r="AC13" s="74">
        <f t="shared" si="12"/>
        <v>0</v>
      </c>
      <c r="AD13" s="54">
        <f t="shared" si="13"/>
        <v>0</v>
      </c>
      <c r="AE13" s="54">
        <f t="shared" si="23"/>
        <v>0</v>
      </c>
      <c r="AF13" s="86">
        <f t="shared" si="14"/>
        <v>0</v>
      </c>
    </row>
    <row r="14" spans="1:32" x14ac:dyDescent="0.35">
      <c r="B14" s="91" t="s">
        <v>19</v>
      </c>
      <c r="C14" s="14">
        <v>0.36</v>
      </c>
      <c r="D14" s="5">
        <v>208</v>
      </c>
      <c r="E14" s="5">
        <v>158</v>
      </c>
      <c r="F14" s="26">
        <f t="shared" si="0"/>
        <v>0.75961538461538458</v>
      </c>
      <c r="G14" s="8">
        <v>150</v>
      </c>
      <c r="H14" s="5">
        <v>13</v>
      </c>
      <c r="I14" s="6">
        <v>51</v>
      </c>
      <c r="J14" s="57">
        <f t="shared" si="1"/>
        <v>200</v>
      </c>
      <c r="K14" s="64">
        <f t="shared" si="2"/>
        <v>0.96153846153846156</v>
      </c>
      <c r="L14" s="58">
        <f t="shared" si="3"/>
        <v>63</v>
      </c>
      <c r="M14" s="64">
        <f t="shared" si="4"/>
        <v>0.30288461538461536</v>
      </c>
      <c r="N14" s="57">
        <f t="shared" si="18"/>
        <v>101</v>
      </c>
      <c r="O14" s="65">
        <f t="shared" si="19"/>
        <v>0.48557692307692307</v>
      </c>
      <c r="P14" s="46">
        <f t="shared" si="5"/>
        <v>25000</v>
      </c>
      <c r="Q14" s="46">
        <f t="shared" si="6"/>
        <v>10647</v>
      </c>
      <c r="R14" s="46">
        <f t="shared" si="20"/>
        <v>505</v>
      </c>
      <c r="S14" s="85">
        <f t="shared" si="7"/>
        <v>36152</v>
      </c>
      <c r="T14" s="69">
        <f t="shared" si="8"/>
        <v>197.46835443037975</v>
      </c>
      <c r="U14" s="64">
        <f t="shared" si="9"/>
        <v>0.94936708860759489</v>
      </c>
      <c r="V14" s="64">
        <f t="shared" si="15"/>
        <v>5.0632911392405111E-2</v>
      </c>
      <c r="W14" s="70">
        <f t="shared" si="10"/>
        <v>17.11392405063291</v>
      </c>
      <c r="X14" s="64">
        <f t="shared" si="11"/>
        <v>8.2278481012658222E-2</v>
      </c>
      <c r="Y14" s="64">
        <f t="shared" si="16"/>
        <v>0.91772151898734178</v>
      </c>
      <c r="Z14" s="70">
        <f t="shared" si="21"/>
        <v>67.139240506329116</v>
      </c>
      <c r="AA14" s="64">
        <f t="shared" si="22"/>
        <v>0.32278481012658228</v>
      </c>
      <c r="AB14" s="64">
        <f t="shared" si="17"/>
        <v>0.67721518987341778</v>
      </c>
      <c r="AC14" s="71">
        <f t="shared" si="12"/>
        <v>24683.544303797469</v>
      </c>
      <c r="AD14" s="46">
        <f t="shared" si="13"/>
        <v>2892.253164556962</v>
      </c>
      <c r="AE14" s="46">
        <f t="shared" si="23"/>
        <v>335.69620253164555</v>
      </c>
      <c r="AF14" s="85">
        <f t="shared" si="14"/>
        <v>27911.493670886077</v>
      </c>
    </row>
    <row r="15" spans="1:32" s="48" customFormat="1" x14ac:dyDescent="0.35">
      <c r="B15" s="94" t="s">
        <v>18</v>
      </c>
      <c r="C15" s="49">
        <v>0.32</v>
      </c>
      <c r="D15" s="50">
        <v>290</v>
      </c>
      <c r="E15" s="50">
        <v>210</v>
      </c>
      <c r="F15" s="51">
        <f t="shared" si="0"/>
        <v>0.72413793103448276</v>
      </c>
      <c r="G15" s="52">
        <v>210</v>
      </c>
      <c r="H15" s="50">
        <v>10</v>
      </c>
      <c r="I15" s="53">
        <v>129</v>
      </c>
      <c r="J15" s="59">
        <f t="shared" si="1"/>
        <v>290</v>
      </c>
      <c r="K15" s="66">
        <f t="shared" si="2"/>
        <v>1</v>
      </c>
      <c r="L15" s="60">
        <f t="shared" si="3"/>
        <v>90</v>
      </c>
      <c r="M15" s="66">
        <f t="shared" si="4"/>
        <v>0.31034482758620691</v>
      </c>
      <c r="N15" s="59">
        <f t="shared" si="18"/>
        <v>209</v>
      </c>
      <c r="O15" s="67">
        <f t="shared" si="19"/>
        <v>0.72068965517241379</v>
      </c>
      <c r="P15" s="54">
        <f t="shared" si="5"/>
        <v>36250</v>
      </c>
      <c r="Q15" s="54">
        <f t="shared" si="6"/>
        <v>15210</v>
      </c>
      <c r="R15" s="54">
        <f t="shared" si="20"/>
        <v>1045</v>
      </c>
      <c r="S15" s="86">
        <f t="shared" si="7"/>
        <v>52505</v>
      </c>
      <c r="T15" s="72">
        <f t="shared" si="8"/>
        <v>290</v>
      </c>
      <c r="U15" s="66">
        <f t="shared" si="9"/>
        <v>1</v>
      </c>
      <c r="V15" s="66">
        <f t="shared" si="15"/>
        <v>0</v>
      </c>
      <c r="W15" s="73">
        <f t="shared" si="10"/>
        <v>13.809523809523808</v>
      </c>
      <c r="X15" s="66">
        <f t="shared" si="11"/>
        <v>4.7619047619047616E-2</v>
      </c>
      <c r="Y15" s="66">
        <f t="shared" si="16"/>
        <v>0.95238095238095233</v>
      </c>
      <c r="Z15" s="73">
        <f t="shared" si="21"/>
        <v>178.14285714285717</v>
      </c>
      <c r="AA15" s="66">
        <f t="shared" si="22"/>
        <v>0.61428571428571432</v>
      </c>
      <c r="AB15" s="66">
        <f t="shared" si="17"/>
        <v>0.38571428571428568</v>
      </c>
      <c r="AC15" s="74">
        <f t="shared" si="12"/>
        <v>36250</v>
      </c>
      <c r="AD15" s="54">
        <f t="shared" si="13"/>
        <v>2333.8095238095234</v>
      </c>
      <c r="AE15" s="54">
        <f t="shared" si="23"/>
        <v>890.71428571428578</v>
      </c>
      <c r="AF15" s="86">
        <f t="shared" si="14"/>
        <v>39474.523809523809</v>
      </c>
    </row>
    <row r="16" spans="1:32" x14ac:dyDescent="0.35">
      <c r="B16" s="91" t="s">
        <v>10</v>
      </c>
      <c r="C16" s="14">
        <v>0.35</v>
      </c>
      <c r="D16" s="5">
        <v>343</v>
      </c>
      <c r="E16" s="5">
        <v>293</v>
      </c>
      <c r="F16" s="26">
        <f t="shared" si="0"/>
        <v>0.85422740524781338</v>
      </c>
      <c r="G16" s="8">
        <v>62</v>
      </c>
      <c r="H16" s="5">
        <v>18</v>
      </c>
      <c r="I16" s="6">
        <v>41</v>
      </c>
      <c r="J16" s="57">
        <f t="shared" si="1"/>
        <v>112</v>
      </c>
      <c r="K16" s="64">
        <f t="shared" si="2"/>
        <v>0.32653061224489793</v>
      </c>
      <c r="L16" s="58">
        <f t="shared" si="3"/>
        <v>68</v>
      </c>
      <c r="M16" s="64">
        <f t="shared" si="4"/>
        <v>0.19825072886297376</v>
      </c>
      <c r="N16" s="57">
        <f t="shared" si="18"/>
        <v>91</v>
      </c>
      <c r="O16" s="65">
        <f t="shared" si="19"/>
        <v>0.26530612244897961</v>
      </c>
      <c r="P16" s="46">
        <f t="shared" si="5"/>
        <v>14000</v>
      </c>
      <c r="Q16" s="46">
        <f t="shared" si="6"/>
        <v>11492</v>
      </c>
      <c r="R16" s="46">
        <f t="shared" si="20"/>
        <v>455</v>
      </c>
      <c r="S16" s="85">
        <f t="shared" si="7"/>
        <v>25947</v>
      </c>
      <c r="T16" s="69">
        <f t="shared" si="8"/>
        <v>72.580204778156997</v>
      </c>
      <c r="U16" s="64">
        <f t="shared" si="9"/>
        <v>0.21160409556313994</v>
      </c>
      <c r="V16" s="64">
        <f t="shared" si="15"/>
        <v>0.78839590443686003</v>
      </c>
      <c r="W16" s="70">
        <f t="shared" si="10"/>
        <v>21.071672354948806</v>
      </c>
      <c r="X16" s="64">
        <f t="shared" si="11"/>
        <v>6.1433447098976107E-2</v>
      </c>
      <c r="Y16" s="64">
        <f t="shared" si="16"/>
        <v>0.93856655290102387</v>
      </c>
      <c r="Z16" s="70">
        <f t="shared" si="21"/>
        <v>47.996587030716725</v>
      </c>
      <c r="AA16" s="64">
        <f t="shared" si="22"/>
        <v>0.13993174061433447</v>
      </c>
      <c r="AB16" s="64">
        <f t="shared" si="17"/>
        <v>0.86006825938566556</v>
      </c>
      <c r="AC16" s="71">
        <f t="shared" si="12"/>
        <v>9072.525597269625</v>
      </c>
      <c r="AD16" s="46">
        <f t="shared" si="13"/>
        <v>3561.1126279863483</v>
      </c>
      <c r="AE16" s="46">
        <f t="shared" si="23"/>
        <v>239.98293515358364</v>
      </c>
      <c r="AF16" s="85">
        <f t="shared" si="14"/>
        <v>12873.621160409559</v>
      </c>
    </row>
    <row r="17" spans="1:32" s="48" customFormat="1" x14ac:dyDescent="0.35">
      <c r="B17" s="94" t="s">
        <v>4</v>
      </c>
      <c r="C17" s="49">
        <v>0.35</v>
      </c>
      <c r="D17" s="50">
        <v>404</v>
      </c>
      <c r="E17" s="50">
        <v>297</v>
      </c>
      <c r="F17" s="51">
        <f t="shared" si="0"/>
        <v>0.73514851485148514</v>
      </c>
      <c r="G17" s="52">
        <v>293</v>
      </c>
      <c r="H17" s="50">
        <v>12</v>
      </c>
      <c r="I17" s="53">
        <v>37</v>
      </c>
      <c r="J17" s="59">
        <f t="shared" si="1"/>
        <v>400</v>
      </c>
      <c r="K17" s="66">
        <f t="shared" si="2"/>
        <v>0.99009900990099009</v>
      </c>
      <c r="L17" s="60">
        <f t="shared" si="3"/>
        <v>119</v>
      </c>
      <c r="M17" s="66">
        <f t="shared" si="4"/>
        <v>0.29455445544554454</v>
      </c>
      <c r="N17" s="59">
        <f t="shared" si="18"/>
        <v>144</v>
      </c>
      <c r="O17" s="67">
        <f t="shared" si="19"/>
        <v>0.35643564356435642</v>
      </c>
      <c r="P17" s="54">
        <f t="shared" si="5"/>
        <v>50000</v>
      </c>
      <c r="Q17" s="54">
        <f t="shared" si="6"/>
        <v>20111</v>
      </c>
      <c r="R17" s="54">
        <f t="shared" si="20"/>
        <v>720</v>
      </c>
      <c r="S17" s="86">
        <f t="shared" si="7"/>
        <v>70831</v>
      </c>
      <c r="T17" s="72">
        <f t="shared" si="8"/>
        <v>398.55892255892252</v>
      </c>
      <c r="U17" s="66">
        <f t="shared" si="9"/>
        <v>0.98653198653198648</v>
      </c>
      <c r="V17" s="66">
        <f t="shared" si="15"/>
        <v>1.3468013468013518E-2</v>
      </c>
      <c r="W17" s="73">
        <f t="shared" si="10"/>
        <v>16.323232323232325</v>
      </c>
      <c r="X17" s="66">
        <f t="shared" si="11"/>
        <v>4.0404040404040407E-2</v>
      </c>
      <c r="Y17" s="66">
        <f t="shared" si="16"/>
        <v>0.95959595959595956</v>
      </c>
      <c r="Z17" s="73">
        <f t="shared" si="21"/>
        <v>50.329966329966332</v>
      </c>
      <c r="AA17" s="66">
        <f t="shared" si="22"/>
        <v>0.12457912457912458</v>
      </c>
      <c r="AB17" s="66">
        <f t="shared" si="17"/>
        <v>0.87542087542087543</v>
      </c>
      <c r="AC17" s="74">
        <f t="shared" si="12"/>
        <v>49819.865319865312</v>
      </c>
      <c r="AD17" s="54">
        <f t="shared" si="13"/>
        <v>2758.6262626262628</v>
      </c>
      <c r="AE17" s="54">
        <f t="shared" si="23"/>
        <v>251.64983164983167</v>
      </c>
      <c r="AF17" s="86">
        <f t="shared" si="14"/>
        <v>52830.141414141406</v>
      </c>
    </row>
    <row r="18" spans="1:32" x14ac:dyDescent="0.35">
      <c r="B18" s="91" t="s">
        <v>7</v>
      </c>
      <c r="C18" s="14">
        <v>0.35</v>
      </c>
      <c r="D18" s="5">
        <v>233</v>
      </c>
      <c r="E18" s="5">
        <v>211</v>
      </c>
      <c r="F18" s="26">
        <f t="shared" si="0"/>
        <v>0.90557939914163088</v>
      </c>
      <c r="G18" s="8">
        <v>161</v>
      </c>
      <c r="H18" s="5">
        <v>11</v>
      </c>
      <c r="I18" s="6">
        <v>9</v>
      </c>
      <c r="J18" s="57">
        <f t="shared" si="1"/>
        <v>183</v>
      </c>
      <c r="K18" s="64">
        <f t="shared" si="2"/>
        <v>0.78540772532188841</v>
      </c>
      <c r="L18" s="58">
        <f t="shared" si="3"/>
        <v>33</v>
      </c>
      <c r="M18" s="64">
        <f t="shared" si="4"/>
        <v>0.14163090128755365</v>
      </c>
      <c r="N18" s="57">
        <f t="shared" si="18"/>
        <v>31</v>
      </c>
      <c r="O18" s="65">
        <f t="shared" si="19"/>
        <v>0.13304721030042918</v>
      </c>
      <c r="P18" s="46">
        <f t="shared" si="5"/>
        <v>22875</v>
      </c>
      <c r="Q18" s="46">
        <f t="shared" si="6"/>
        <v>5577</v>
      </c>
      <c r="R18" s="46">
        <f t="shared" si="20"/>
        <v>155</v>
      </c>
      <c r="S18" s="85">
        <f t="shared" si="7"/>
        <v>28607</v>
      </c>
      <c r="T18" s="69">
        <f t="shared" si="8"/>
        <v>177.78672985781989</v>
      </c>
      <c r="U18" s="64">
        <f t="shared" si="9"/>
        <v>0.76303317535545023</v>
      </c>
      <c r="V18" s="64">
        <f t="shared" si="15"/>
        <v>0.23696682464454977</v>
      </c>
      <c r="W18" s="70">
        <f t="shared" si="10"/>
        <v>12.14691943127962</v>
      </c>
      <c r="X18" s="64">
        <f t="shared" si="11"/>
        <v>5.2132701421800945E-2</v>
      </c>
      <c r="Y18" s="64">
        <f t="shared" si="16"/>
        <v>0.94786729857819907</v>
      </c>
      <c r="Z18" s="70">
        <f t="shared" si="21"/>
        <v>9.9383886255924185</v>
      </c>
      <c r="AA18" s="64">
        <f t="shared" si="22"/>
        <v>4.2654028436018961E-2</v>
      </c>
      <c r="AB18" s="64">
        <f t="shared" si="17"/>
        <v>0.95734597156398105</v>
      </c>
      <c r="AC18" s="71">
        <f t="shared" si="12"/>
        <v>22223.341232227485</v>
      </c>
      <c r="AD18" s="46">
        <f t="shared" si="13"/>
        <v>2052.829383886256</v>
      </c>
      <c r="AE18" s="46">
        <f t="shared" si="23"/>
        <v>49.691943127962091</v>
      </c>
      <c r="AF18" s="85">
        <f t="shared" si="14"/>
        <v>24325.862559241705</v>
      </c>
    </row>
    <row r="19" spans="1:32" s="48" customFormat="1" x14ac:dyDescent="0.35">
      <c r="B19" s="94" t="s">
        <v>17</v>
      </c>
      <c r="C19" s="49">
        <v>0.33</v>
      </c>
      <c r="D19" s="50">
        <v>384</v>
      </c>
      <c r="E19" s="50">
        <v>313</v>
      </c>
      <c r="F19" s="51">
        <f t="shared" si="0"/>
        <v>0.81510416666666663</v>
      </c>
      <c r="G19" s="52">
        <v>160</v>
      </c>
      <c r="H19" s="50">
        <v>38</v>
      </c>
      <c r="I19" s="53">
        <v>18</v>
      </c>
      <c r="J19" s="59">
        <f t="shared" si="1"/>
        <v>231</v>
      </c>
      <c r="K19" s="66">
        <f t="shared" si="2"/>
        <v>0.6015625</v>
      </c>
      <c r="L19" s="60">
        <f t="shared" si="3"/>
        <v>109</v>
      </c>
      <c r="M19" s="66">
        <f t="shared" si="4"/>
        <v>0.28385416666666669</v>
      </c>
      <c r="N19" s="59">
        <f t="shared" si="18"/>
        <v>89</v>
      </c>
      <c r="O19" s="67">
        <f t="shared" si="19"/>
        <v>0.23177083333333334</v>
      </c>
      <c r="P19" s="54">
        <f t="shared" si="5"/>
        <v>28875</v>
      </c>
      <c r="Q19" s="54">
        <f t="shared" si="6"/>
        <v>18421</v>
      </c>
      <c r="R19" s="54">
        <f t="shared" si="20"/>
        <v>445</v>
      </c>
      <c r="S19" s="86">
        <f t="shared" si="7"/>
        <v>47741</v>
      </c>
      <c r="T19" s="72">
        <f t="shared" si="8"/>
        <v>196.29392971246006</v>
      </c>
      <c r="U19" s="66">
        <f t="shared" si="9"/>
        <v>0.51118210862619806</v>
      </c>
      <c r="V19" s="66">
        <f t="shared" si="15"/>
        <v>0.48881789137380194</v>
      </c>
      <c r="W19" s="73">
        <f t="shared" si="10"/>
        <v>46.61980830670926</v>
      </c>
      <c r="X19" s="66">
        <f t="shared" si="11"/>
        <v>0.12140575079872203</v>
      </c>
      <c r="Y19" s="66">
        <f t="shared" si="16"/>
        <v>0.87859424920127793</v>
      </c>
      <c r="Z19" s="73">
        <f t="shared" si="21"/>
        <v>22.083067092651756</v>
      </c>
      <c r="AA19" s="66">
        <f t="shared" si="22"/>
        <v>5.7507987220447282E-2</v>
      </c>
      <c r="AB19" s="66">
        <f t="shared" si="17"/>
        <v>0.94249201277955275</v>
      </c>
      <c r="AC19" s="74">
        <f t="shared" si="12"/>
        <v>24536.741214057507</v>
      </c>
      <c r="AD19" s="54">
        <f t="shared" si="13"/>
        <v>7878.7476038338646</v>
      </c>
      <c r="AE19" s="54">
        <f t="shared" si="23"/>
        <v>110.41533546325878</v>
      </c>
      <c r="AF19" s="86">
        <f t="shared" si="14"/>
        <v>32525.90415335463</v>
      </c>
    </row>
    <row r="20" spans="1:32" x14ac:dyDescent="0.35">
      <c r="A20" s="9"/>
      <c r="B20" s="96" t="s">
        <v>20</v>
      </c>
      <c r="C20" s="13">
        <v>0.52</v>
      </c>
      <c r="D20" s="8">
        <v>267</v>
      </c>
      <c r="E20" s="8">
        <v>221</v>
      </c>
      <c r="F20" s="26">
        <f t="shared" si="0"/>
        <v>0.82771535580524347</v>
      </c>
      <c r="G20" s="8">
        <v>30</v>
      </c>
      <c r="H20" s="8">
        <v>14</v>
      </c>
      <c r="I20" s="6">
        <v>18</v>
      </c>
      <c r="J20" s="57">
        <f t="shared" si="1"/>
        <v>76</v>
      </c>
      <c r="K20" s="64">
        <f t="shared" si="2"/>
        <v>0.28464419475655428</v>
      </c>
      <c r="L20" s="58">
        <f t="shared" si="3"/>
        <v>60</v>
      </c>
      <c r="M20" s="64">
        <f t="shared" si="4"/>
        <v>0.2247191011235955</v>
      </c>
      <c r="N20" s="57">
        <f t="shared" si="18"/>
        <v>64</v>
      </c>
      <c r="O20" s="65">
        <f t="shared" si="19"/>
        <v>0.23970037453183521</v>
      </c>
      <c r="P20" s="46">
        <f t="shared" si="5"/>
        <v>9500</v>
      </c>
      <c r="Q20" s="46">
        <f t="shared" si="6"/>
        <v>10140</v>
      </c>
      <c r="R20" s="46">
        <f t="shared" si="20"/>
        <v>320</v>
      </c>
      <c r="S20" s="85">
        <f t="shared" si="7"/>
        <v>19960</v>
      </c>
      <c r="T20" s="69">
        <f t="shared" si="8"/>
        <v>36.244343891402714</v>
      </c>
      <c r="U20" s="64">
        <f t="shared" si="9"/>
        <v>0.13574660633484162</v>
      </c>
      <c r="V20" s="64">
        <f t="shared" si="15"/>
        <v>0.86425339366515841</v>
      </c>
      <c r="W20" s="70">
        <f t="shared" si="10"/>
        <v>16.914027149321267</v>
      </c>
      <c r="X20" s="64">
        <f t="shared" si="11"/>
        <v>6.3348416289592757E-2</v>
      </c>
      <c r="Y20" s="64">
        <f t="shared" si="16"/>
        <v>0.93665158371040724</v>
      </c>
      <c r="Z20" s="70">
        <f t="shared" si="21"/>
        <v>21.74660633484163</v>
      </c>
      <c r="AA20" s="64">
        <f t="shared" si="22"/>
        <v>8.1447963800904979E-2</v>
      </c>
      <c r="AB20" s="64">
        <f t="shared" si="17"/>
        <v>0.91855203619909498</v>
      </c>
      <c r="AC20" s="71">
        <f t="shared" si="12"/>
        <v>4530.5429864253392</v>
      </c>
      <c r="AD20" s="46">
        <f t="shared" si="13"/>
        <v>2858.4705882352941</v>
      </c>
      <c r="AE20" s="46">
        <f t="shared" si="23"/>
        <v>108.73303167420815</v>
      </c>
      <c r="AF20" s="85">
        <f t="shared" si="14"/>
        <v>7497.746606334842</v>
      </c>
    </row>
    <row r="21" spans="1:32" s="48" customFormat="1" x14ac:dyDescent="0.35">
      <c r="B21" s="94" t="s">
        <v>33</v>
      </c>
      <c r="C21" s="56">
        <v>0.26</v>
      </c>
      <c r="D21" s="50" t="s">
        <v>26</v>
      </c>
      <c r="E21" s="50" t="s">
        <v>26</v>
      </c>
      <c r="F21" s="53" t="s">
        <v>26</v>
      </c>
      <c r="G21" s="50" t="s">
        <v>26</v>
      </c>
      <c r="H21" s="50" t="s">
        <v>26</v>
      </c>
      <c r="I21" s="53" t="s">
        <v>26</v>
      </c>
      <c r="J21" s="60" t="s">
        <v>26</v>
      </c>
      <c r="K21" s="60" t="s">
        <v>26</v>
      </c>
      <c r="L21" s="60" t="s">
        <v>26</v>
      </c>
      <c r="M21" s="60" t="s">
        <v>26</v>
      </c>
      <c r="N21" s="60" t="s">
        <v>26</v>
      </c>
      <c r="O21" s="61" t="s">
        <v>26</v>
      </c>
      <c r="P21" s="76" t="s">
        <v>26</v>
      </c>
      <c r="Q21" s="76" t="s">
        <v>26</v>
      </c>
      <c r="R21" s="76" t="s">
        <v>26</v>
      </c>
      <c r="S21" s="87" t="s">
        <v>26</v>
      </c>
      <c r="T21" s="77" t="s">
        <v>26</v>
      </c>
      <c r="U21" s="60" t="s">
        <v>26</v>
      </c>
      <c r="V21" s="66" t="s">
        <v>26</v>
      </c>
      <c r="W21" s="60" t="s">
        <v>26</v>
      </c>
      <c r="X21" s="60" t="s">
        <v>26</v>
      </c>
      <c r="Y21" s="66" t="s">
        <v>26</v>
      </c>
      <c r="Z21" s="60" t="s">
        <v>26</v>
      </c>
      <c r="AA21" s="59" t="s">
        <v>26</v>
      </c>
      <c r="AB21" s="60" t="s">
        <v>26</v>
      </c>
      <c r="AC21" s="78" t="s">
        <v>26</v>
      </c>
      <c r="AD21" s="76" t="s">
        <v>26</v>
      </c>
      <c r="AE21" s="76" t="s">
        <v>26</v>
      </c>
      <c r="AF21" s="87" t="s">
        <v>26</v>
      </c>
    </row>
    <row r="22" spans="1:32" x14ac:dyDescent="0.35">
      <c r="B22" s="91" t="s">
        <v>34</v>
      </c>
      <c r="C22" s="23">
        <v>0.26</v>
      </c>
      <c r="D22" s="5" t="s">
        <v>26</v>
      </c>
      <c r="E22" s="5" t="s">
        <v>26</v>
      </c>
      <c r="F22" s="6" t="s">
        <v>26</v>
      </c>
      <c r="G22" s="5" t="s">
        <v>26</v>
      </c>
      <c r="H22" s="5" t="s">
        <v>26</v>
      </c>
      <c r="I22" s="6" t="s">
        <v>26</v>
      </c>
      <c r="J22" s="58" t="s">
        <v>26</v>
      </c>
      <c r="K22" s="58" t="s">
        <v>26</v>
      </c>
      <c r="L22" s="58" t="s">
        <v>26</v>
      </c>
      <c r="M22" s="58" t="s">
        <v>26</v>
      </c>
      <c r="N22" s="58" t="s">
        <v>26</v>
      </c>
      <c r="O22" s="62" t="s">
        <v>26</v>
      </c>
      <c r="P22" s="79" t="s">
        <v>26</v>
      </c>
      <c r="Q22" s="79" t="s">
        <v>26</v>
      </c>
      <c r="R22" s="79" t="s">
        <v>26</v>
      </c>
      <c r="S22" s="88" t="s">
        <v>26</v>
      </c>
      <c r="T22" s="80" t="s">
        <v>26</v>
      </c>
      <c r="U22" s="58" t="s">
        <v>26</v>
      </c>
      <c r="V22" s="64" t="s">
        <v>26</v>
      </c>
      <c r="W22" s="58" t="s">
        <v>26</v>
      </c>
      <c r="X22" s="58" t="s">
        <v>26</v>
      </c>
      <c r="Y22" s="64" t="s">
        <v>26</v>
      </c>
      <c r="Z22" s="58" t="s">
        <v>26</v>
      </c>
      <c r="AA22" s="57" t="s">
        <v>26</v>
      </c>
      <c r="AB22" s="58" t="s">
        <v>26</v>
      </c>
      <c r="AC22" s="81" t="s">
        <v>26</v>
      </c>
      <c r="AD22" s="79" t="s">
        <v>26</v>
      </c>
      <c r="AE22" s="79" t="s">
        <v>26</v>
      </c>
      <c r="AF22" s="88" t="s">
        <v>26</v>
      </c>
    </row>
    <row r="23" spans="1:32" s="48" customFormat="1" x14ac:dyDescent="0.35">
      <c r="B23" s="92" t="s">
        <v>5</v>
      </c>
      <c r="C23" s="49">
        <v>0.33</v>
      </c>
      <c r="D23" s="50">
        <v>339</v>
      </c>
      <c r="E23" s="50">
        <v>138</v>
      </c>
      <c r="F23" s="51">
        <f>E23/D23</f>
        <v>0.40707964601769914</v>
      </c>
      <c r="G23" s="52">
        <v>73</v>
      </c>
      <c r="H23" s="50">
        <v>10</v>
      </c>
      <c r="I23" s="53">
        <v>22</v>
      </c>
      <c r="J23" s="59">
        <f>($D23-$E23)+G23</f>
        <v>274</v>
      </c>
      <c r="K23" s="66">
        <f>J23/D23</f>
        <v>0.80825958702064893</v>
      </c>
      <c r="L23" s="60">
        <f>($D23-$E23)+H23</f>
        <v>211</v>
      </c>
      <c r="M23" s="66">
        <f>L23/D23</f>
        <v>0.6224188790560472</v>
      </c>
      <c r="N23" s="59">
        <f>($D23-$E23)+I23</f>
        <v>223</v>
      </c>
      <c r="O23" s="67">
        <f>N23/D23</f>
        <v>0.65781710914454272</v>
      </c>
      <c r="P23" s="54">
        <f>J23*$P$3</f>
        <v>34250</v>
      </c>
      <c r="Q23" s="54">
        <f>L23*$Q$3</f>
        <v>35659</v>
      </c>
      <c r="R23" s="54">
        <f>N23*$R$3</f>
        <v>1115</v>
      </c>
      <c r="S23" s="86">
        <f>SUM(P23:R23)</f>
        <v>71024</v>
      </c>
      <c r="T23" s="72">
        <f>(G23/$E23)*$D23</f>
        <v>179.32608695652175</v>
      </c>
      <c r="U23" s="66">
        <f>T23/D23</f>
        <v>0.52898550724637683</v>
      </c>
      <c r="V23" s="66">
        <f t="shared" si="15"/>
        <v>0.47101449275362317</v>
      </c>
      <c r="W23" s="73">
        <f>(H23/$E23)*$D23</f>
        <v>24.565217391304348</v>
      </c>
      <c r="X23" s="66">
        <f>W23/D23</f>
        <v>7.2463768115942032E-2</v>
      </c>
      <c r="Y23" s="66">
        <f t="shared" si="16"/>
        <v>0.92753623188405798</v>
      </c>
      <c r="Z23" s="73">
        <f>(I23/$E23)*$D23</f>
        <v>54.043478260869563</v>
      </c>
      <c r="AA23" s="66">
        <f>Z23/D23</f>
        <v>0.15942028985507245</v>
      </c>
      <c r="AB23" s="66">
        <f t="shared" si="17"/>
        <v>0.84057971014492749</v>
      </c>
      <c r="AC23" s="74">
        <f t="shared" ref="AC23:AC31" si="24">T23*$P$3</f>
        <v>22415.76086956522</v>
      </c>
      <c r="AD23" s="54">
        <f t="shared" ref="AD23:AD31" si="25">W23*$Q$3</f>
        <v>4151.521739130435</v>
      </c>
      <c r="AE23" s="54">
        <f t="shared" ref="AE23:AE31" si="26">Z23*$R$3</f>
        <v>270.21739130434781</v>
      </c>
      <c r="AF23" s="86">
        <f t="shared" ref="AF23:AF31" si="27">SUM(AC23:AE23)</f>
        <v>26837.500000000004</v>
      </c>
    </row>
    <row r="24" spans="1:32" x14ac:dyDescent="0.35">
      <c r="B24" s="93" t="s">
        <v>13</v>
      </c>
      <c r="C24" s="14">
        <v>0.48</v>
      </c>
      <c r="D24" s="5">
        <v>227</v>
      </c>
      <c r="E24" s="5" t="s">
        <v>26</v>
      </c>
      <c r="F24" s="26" t="s">
        <v>26</v>
      </c>
      <c r="G24" s="8" t="s">
        <v>26</v>
      </c>
      <c r="H24" s="5" t="s">
        <v>26</v>
      </c>
      <c r="I24" s="6" t="s">
        <v>26</v>
      </c>
      <c r="J24" s="57" t="s">
        <v>26</v>
      </c>
      <c r="K24" s="64" t="s">
        <v>26</v>
      </c>
      <c r="L24" s="58" t="s">
        <v>26</v>
      </c>
      <c r="M24" s="64" t="s">
        <v>26</v>
      </c>
      <c r="N24" s="57" t="s">
        <v>26</v>
      </c>
      <c r="O24" s="65" t="s">
        <v>26</v>
      </c>
      <c r="P24" s="46" t="s">
        <v>26</v>
      </c>
      <c r="Q24" s="46" t="s">
        <v>26</v>
      </c>
      <c r="R24" s="46" t="s">
        <v>26</v>
      </c>
      <c r="S24" s="85" t="s">
        <v>26</v>
      </c>
      <c r="T24" s="70">
        <f>U24*$D$24</f>
        <v>131.66</v>
      </c>
      <c r="U24" s="64">
        <v>0.57999999999999996</v>
      </c>
      <c r="V24" s="64">
        <f t="shared" si="15"/>
        <v>0.42000000000000004</v>
      </c>
      <c r="W24" s="70">
        <f>X24*$D$24</f>
        <v>11.350000000000001</v>
      </c>
      <c r="X24" s="64">
        <v>0.05</v>
      </c>
      <c r="Y24" s="64">
        <f t="shared" si="16"/>
        <v>0.95</v>
      </c>
      <c r="Z24" s="70">
        <f>AA24*$D$24</f>
        <v>38.590000000000003</v>
      </c>
      <c r="AA24" s="64">
        <v>0.17</v>
      </c>
      <c r="AB24" s="64">
        <f t="shared" si="17"/>
        <v>0.83</v>
      </c>
      <c r="AC24" s="71">
        <f t="shared" si="24"/>
        <v>16457.5</v>
      </c>
      <c r="AD24" s="46">
        <f t="shared" si="25"/>
        <v>1918.1500000000003</v>
      </c>
      <c r="AE24" s="46">
        <f t="shared" si="26"/>
        <v>192.95000000000002</v>
      </c>
      <c r="AF24" s="85">
        <f t="shared" si="27"/>
        <v>18568.600000000002</v>
      </c>
    </row>
    <row r="25" spans="1:32" s="48" customFormat="1" x14ac:dyDescent="0.35">
      <c r="B25" s="94" t="s">
        <v>8</v>
      </c>
      <c r="C25" s="49">
        <v>0.48</v>
      </c>
      <c r="D25" s="50">
        <v>310</v>
      </c>
      <c r="E25" s="50">
        <v>283</v>
      </c>
      <c r="F25" s="51">
        <f t="shared" ref="F25:F31" si="28">E25/D25</f>
        <v>0.91290322580645167</v>
      </c>
      <c r="G25" s="52">
        <v>138</v>
      </c>
      <c r="H25" s="50">
        <v>2</v>
      </c>
      <c r="I25" s="53">
        <v>103</v>
      </c>
      <c r="J25" s="59">
        <f t="shared" ref="J25:J31" si="29">($D25-$E25)+G25</f>
        <v>165</v>
      </c>
      <c r="K25" s="66">
        <f t="shared" ref="K25:K31" si="30">J25/D25</f>
        <v>0.532258064516129</v>
      </c>
      <c r="L25" s="60">
        <f t="shared" ref="L25:L31" si="31">($D25-$E25)+H25</f>
        <v>29</v>
      </c>
      <c r="M25" s="66">
        <f t="shared" ref="M25:M31" si="32">L25/D25</f>
        <v>9.3548387096774197E-2</v>
      </c>
      <c r="N25" s="59">
        <f t="shared" ref="N25:N31" si="33">($D25-$E25)+I25</f>
        <v>130</v>
      </c>
      <c r="O25" s="67">
        <f t="shared" ref="O25:O31" si="34">N25/D25</f>
        <v>0.41935483870967744</v>
      </c>
      <c r="P25" s="54">
        <f t="shared" ref="P25:P31" si="35">J25*$P$3</f>
        <v>20625</v>
      </c>
      <c r="Q25" s="54">
        <f t="shared" ref="Q25:Q31" si="36">L25*$Q$3</f>
        <v>4901</v>
      </c>
      <c r="R25" s="54">
        <f t="shared" ref="R25:R31" si="37">N25*$R$3</f>
        <v>650</v>
      </c>
      <c r="S25" s="86">
        <f t="shared" ref="S25:S31" si="38">SUM(P25:R25)</f>
        <v>26176</v>
      </c>
      <c r="T25" s="72">
        <f t="shared" ref="T25:T31" si="39">(G25/$E25)*$D25</f>
        <v>151.1660777385159</v>
      </c>
      <c r="U25" s="66">
        <f t="shared" ref="U25:U31" si="40">T25/D25</f>
        <v>0.48763250883392223</v>
      </c>
      <c r="V25" s="66">
        <f t="shared" si="15"/>
        <v>0.51236749116607783</v>
      </c>
      <c r="W25" s="73">
        <f t="shared" ref="W25:W31" si="41">(H25/$E25)*$D25</f>
        <v>2.1908127208480566</v>
      </c>
      <c r="X25" s="66">
        <f t="shared" ref="X25:X31" si="42">W25/D25</f>
        <v>7.0671378091872791E-3</v>
      </c>
      <c r="Y25" s="66">
        <f t="shared" si="16"/>
        <v>0.99293286219081267</v>
      </c>
      <c r="Z25" s="73">
        <f t="shared" ref="Z25:Z31" si="43">(I25/$E25)*$D25</f>
        <v>112.8268551236749</v>
      </c>
      <c r="AA25" s="66">
        <f t="shared" ref="AA25:AA31" si="44">Z25/D25</f>
        <v>0.36395759717314485</v>
      </c>
      <c r="AB25" s="66">
        <f t="shared" si="17"/>
        <v>0.6360424028268552</v>
      </c>
      <c r="AC25" s="74">
        <f t="shared" si="24"/>
        <v>18895.759717314486</v>
      </c>
      <c r="AD25" s="54">
        <f t="shared" si="25"/>
        <v>370.24734982332154</v>
      </c>
      <c r="AE25" s="54">
        <f t="shared" si="26"/>
        <v>564.13427561837455</v>
      </c>
      <c r="AF25" s="86">
        <f t="shared" si="27"/>
        <v>19830.141342756182</v>
      </c>
    </row>
    <row r="26" spans="1:32" x14ac:dyDescent="0.35">
      <c r="B26" s="91" t="s">
        <v>15</v>
      </c>
      <c r="C26" s="14">
        <v>0.3</v>
      </c>
      <c r="D26" s="5">
        <v>214</v>
      </c>
      <c r="E26" s="5">
        <v>178</v>
      </c>
      <c r="F26" s="26">
        <f t="shared" si="28"/>
        <v>0.83177570093457942</v>
      </c>
      <c r="G26" s="8">
        <v>15</v>
      </c>
      <c r="H26" s="5">
        <v>13</v>
      </c>
      <c r="I26" s="6"/>
      <c r="J26" s="57">
        <f t="shared" si="29"/>
        <v>51</v>
      </c>
      <c r="K26" s="64">
        <f t="shared" si="30"/>
        <v>0.23831775700934579</v>
      </c>
      <c r="L26" s="58">
        <f t="shared" si="31"/>
        <v>49</v>
      </c>
      <c r="M26" s="64">
        <f t="shared" si="32"/>
        <v>0.22897196261682243</v>
      </c>
      <c r="N26" s="57">
        <f t="shared" si="33"/>
        <v>36</v>
      </c>
      <c r="O26" s="65">
        <f t="shared" si="34"/>
        <v>0.16822429906542055</v>
      </c>
      <c r="P26" s="46">
        <f t="shared" si="35"/>
        <v>6375</v>
      </c>
      <c r="Q26" s="46">
        <f t="shared" si="36"/>
        <v>8281</v>
      </c>
      <c r="R26" s="46">
        <f t="shared" si="37"/>
        <v>180</v>
      </c>
      <c r="S26" s="85">
        <f t="shared" si="38"/>
        <v>14836</v>
      </c>
      <c r="T26" s="69">
        <f t="shared" si="39"/>
        <v>18.033707865168537</v>
      </c>
      <c r="U26" s="64">
        <f t="shared" si="40"/>
        <v>8.4269662921348312E-2</v>
      </c>
      <c r="V26" s="64">
        <f t="shared" si="15"/>
        <v>0.9157303370786517</v>
      </c>
      <c r="W26" s="70">
        <f t="shared" si="41"/>
        <v>15.629213483146067</v>
      </c>
      <c r="X26" s="64">
        <f t="shared" si="42"/>
        <v>7.3033707865168537E-2</v>
      </c>
      <c r="Y26" s="64">
        <f t="shared" si="16"/>
        <v>0.9269662921348315</v>
      </c>
      <c r="Z26" s="70">
        <f t="shared" si="43"/>
        <v>0</v>
      </c>
      <c r="AA26" s="64">
        <f t="shared" si="44"/>
        <v>0</v>
      </c>
      <c r="AB26" s="64">
        <f t="shared" si="17"/>
        <v>1</v>
      </c>
      <c r="AC26" s="71">
        <f t="shared" si="24"/>
        <v>2254.2134831460671</v>
      </c>
      <c r="AD26" s="46">
        <f t="shared" si="25"/>
        <v>2641.3370786516853</v>
      </c>
      <c r="AE26" s="46">
        <f t="shared" si="26"/>
        <v>0</v>
      </c>
      <c r="AF26" s="85">
        <f t="shared" si="27"/>
        <v>4895.5505617977524</v>
      </c>
    </row>
    <row r="27" spans="1:32" s="48" customFormat="1" x14ac:dyDescent="0.35">
      <c r="B27" s="94" t="s">
        <v>22</v>
      </c>
      <c r="C27" s="49">
        <v>0.27</v>
      </c>
      <c r="D27" s="50">
        <v>214</v>
      </c>
      <c r="E27" s="50">
        <v>127</v>
      </c>
      <c r="F27" s="51">
        <f t="shared" si="28"/>
        <v>0.59345794392523366</v>
      </c>
      <c r="G27" s="52">
        <v>91</v>
      </c>
      <c r="H27" s="50">
        <v>15</v>
      </c>
      <c r="I27" s="53">
        <v>20</v>
      </c>
      <c r="J27" s="59">
        <f t="shared" si="29"/>
        <v>178</v>
      </c>
      <c r="K27" s="66">
        <f t="shared" si="30"/>
        <v>0.83177570093457942</v>
      </c>
      <c r="L27" s="60">
        <f t="shared" si="31"/>
        <v>102</v>
      </c>
      <c r="M27" s="66">
        <f t="shared" si="32"/>
        <v>0.47663551401869159</v>
      </c>
      <c r="N27" s="59">
        <f t="shared" si="33"/>
        <v>107</v>
      </c>
      <c r="O27" s="67">
        <f t="shared" si="34"/>
        <v>0.5</v>
      </c>
      <c r="P27" s="54">
        <f t="shared" si="35"/>
        <v>22250</v>
      </c>
      <c r="Q27" s="54">
        <f t="shared" si="36"/>
        <v>17238</v>
      </c>
      <c r="R27" s="54">
        <f t="shared" si="37"/>
        <v>535</v>
      </c>
      <c r="S27" s="86">
        <f t="shared" si="38"/>
        <v>40023</v>
      </c>
      <c r="T27" s="72">
        <f t="shared" si="39"/>
        <v>153.33858267716533</v>
      </c>
      <c r="U27" s="66">
        <f t="shared" si="40"/>
        <v>0.71653543307086609</v>
      </c>
      <c r="V27" s="66">
        <f t="shared" si="15"/>
        <v>0.28346456692913391</v>
      </c>
      <c r="W27" s="73">
        <f t="shared" si="41"/>
        <v>25.275590551181104</v>
      </c>
      <c r="X27" s="66">
        <f t="shared" si="42"/>
        <v>0.11811023622047245</v>
      </c>
      <c r="Y27" s="66">
        <f t="shared" si="16"/>
        <v>0.88188976377952755</v>
      </c>
      <c r="Z27" s="73">
        <f t="shared" si="43"/>
        <v>33.7007874015748</v>
      </c>
      <c r="AA27" s="66">
        <f t="shared" si="44"/>
        <v>0.15748031496062992</v>
      </c>
      <c r="AB27" s="66">
        <f t="shared" si="17"/>
        <v>0.84251968503937014</v>
      </c>
      <c r="AC27" s="74">
        <f t="shared" si="24"/>
        <v>19167.322834645667</v>
      </c>
      <c r="AD27" s="54">
        <f t="shared" si="25"/>
        <v>4271.5748031496069</v>
      </c>
      <c r="AE27" s="54">
        <f t="shared" si="26"/>
        <v>168.50393700787401</v>
      </c>
      <c r="AF27" s="86">
        <f t="shared" si="27"/>
        <v>23607.401574803149</v>
      </c>
    </row>
    <row r="28" spans="1:32" x14ac:dyDescent="0.35">
      <c r="B28" s="91" t="s">
        <v>11</v>
      </c>
      <c r="C28" s="14">
        <v>0.32</v>
      </c>
      <c r="D28" s="5">
        <v>231</v>
      </c>
      <c r="E28" s="5">
        <v>219</v>
      </c>
      <c r="F28" s="26">
        <f t="shared" si="28"/>
        <v>0.94805194805194803</v>
      </c>
      <c r="G28" s="8">
        <v>195</v>
      </c>
      <c r="H28" s="5">
        <v>7</v>
      </c>
      <c r="I28" s="6">
        <v>78</v>
      </c>
      <c r="J28" s="57">
        <f t="shared" si="29"/>
        <v>207</v>
      </c>
      <c r="K28" s="64">
        <f t="shared" si="30"/>
        <v>0.89610389610389607</v>
      </c>
      <c r="L28" s="58">
        <f t="shared" si="31"/>
        <v>19</v>
      </c>
      <c r="M28" s="64">
        <f t="shared" si="32"/>
        <v>8.2251082251082255E-2</v>
      </c>
      <c r="N28" s="57">
        <f t="shared" si="33"/>
        <v>90</v>
      </c>
      <c r="O28" s="65">
        <f t="shared" si="34"/>
        <v>0.38961038961038963</v>
      </c>
      <c r="P28" s="46">
        <f t="shared" si="35"/>
        <v>25875</v>
      </c>
      <c r="Q28" s="46">
        <f t="shared" si="36"/>
        <v>3211</v>
      </c>
      <c r="R28" s="46">
        <f t="shared" si="37"/>
        <v>450</v>
      </c>
      <c r="S28" s="85">
        <f t="shared" si="38"/>
        <v>29536</v>
      </c>
      <c r="T28" s="69">
        <f t="shared" si="39"/>
        <v>205.68493150684932</v>
      </c>
      <c r="U28" s="64">
        <f t="shared" si="40"/>
        <v>0.8904109589041096</v>
      </c>
      <c r="V28" s="64">
        <f t="shared" si="15"/>
        <v>0.1095890410958904</v>
      </c>
      <c r="W28" s="70">
        <f t="shared" si="41"/>
        <v>7.3835616438356162</v>
      </c>
      <c r="X28" s="64">
        <f t="shared" si="42"/>
        <v>3.1963470319634701E-2</v>
      </c>
      <c r="Y28" s="64">
        <f t="shared" si="16"/>
        <v>0.96803652968036524</v>
      </c>
      <c r="Z28" s="70">
        <f t="shared" si="43"/>
        <v>82.273972602739718</v>
      </c>
      <c r="AA28" s="64">
        <f t="shared" si="44"/>
        <v>0.35616438356164382</v>
      </c>
      <c r="AB28" s="64">
        <f t="shared" si="17"/>
        <v>0.64383561643835618</v>
      </c>
      <c r="AC28" s="71">
        <f t="shared" si="24"/>
        <v>25710.616438356166</v>
      </c>
      <c r="AD28" s="46">
        <f t="shared" si="25"/>
        <v>1247.821917808219</v>
      </c>
      <c r="AE28" s="46">
        <f t="shared" si="26"/>
        <v>411.36986301369859</v>
      </c>
      <c r="AF28" s="85">
        <f t="shared" si="27"/>
        <v>27369.808219178081</v>
      </c>
    </row>
    <row r="29" spans="1:32" s="48" customFormat="1" x14ac:dyDescent="0.35">
      <c r="B29" s="94" t="s">
        <v>24</v>
      </c>
      <c r="C29" s="50" t="s">
        <v>26</v>
      </c>
      <c r="D29" s="50">
        <v>177</v>
      </c>
      <c r="E29" s="50">
        <v>166</v>
      </c>
      <c r="F29" s="51">
        <f t="shared" si="28"/>
        <v>0.93785310734463279</v>
      </c>
      <c r="G29" s="52">
        <v>16</v>
      </c>
      <c r="H29" s="50">
        <v>14</v>
      </c>
      <c r="I29" s="53">
        <v>4</v>
      </c>
      <c r="J29" s="59">
        <f t="shared" si="29"/>
        <v>27</v>
      </c>
      <c r="K29" s="66">
        <f t="shared" si="30"/>
        <v>0.15254237288135594</v>
      </c>
      <c r="L29" s="60">
        <f t="shared" si="31"/>
        <v>25</v>
      </c>
      <c r="M29" s="66">
        <f t="shared" si="32"/>
        <v>0.14124293785310735</v>
      </c>
      <c r="N29" s="59">
        <f t="shared" si="33"/>
        <v>15</v>
      </c>
      <c r="O29" s="67">
        <f t="shared" si="34"/>
        <v>8.4745762711864403E-2</v>
      </c>
      <c r="P29" s="54">
        <f t="shared" si="35"/>
        <v>3375</v>
      </c>
      <c r="Q29" s="54">
        <f t="shared" si="36"/>
        <v>4225</v>
      </c>
      <c r="R29" s="54">
        <f t="shared" si="37"/>
        <v>75</v>
      </c>
      <c r="S29" s="86">
        <f t="shared" si="38"/>
        <v>7675</v>
      </c>
      <c r="T29" s="72">
        <f t="shared" si="39"/>
        <v>17.060240963855424</v>
      </c>
      <c r="U29" s="66">
        <f t="shared" si="40"/>
        <v>9.6385542168674718E-2</v>
      </c>
      <c r="V29" s="66">
        <f t="shared" si="15"/>
        <v>0.90361445783132532</v>
      </c>
      <c r="W29" s="73">
        <f t="shared" si="41"/>
        <v>14.927710843373493</v>
      </c>
      <c r="X29" s="66">
        <f t="shared" si="42"/>
        <v>8.4337349397590355E-2</v>
      </c>
      <c r="Y29" s="66">
        <f t="shared" si="16"/>
        <v>0.9156626506024097</v>
      </c>
      <c r="Z29" s="73">
        <f t="shared" si="43"/>
        <v>4.2650602409638561</v>
      </c>
      <c r="AA29" s="66">
        <f t="shared" si="44"/>
        <v>2.4096385542168679E-2</v>
      </c>
      <c r="AB29" s="66">
        <f t="shared" si="17"/>
        <v>0.97590361445783136</v>
      </c>
      <c r="AC29" s="74">
        <f t="shared" si="24"/>
        <v>2132.530120481928</v>
      </c>
      <c r="AD29" s="54">
        <f t="shared" si="25"/>
        <v>2522.7831325301204</v>
      </c>
      <c r="AE29" s="54">
        <f t="shared" si="26"/>
        <v>21.325301204819279</v>
      </c>
      <c r="AF29" s="86">
        <f t="shared" si="27"/>
        <v>4676.6385542168673</v>
      </c>
    </row>
    <row r="30" spans="1:32" x14ac:dyDescent="0.35">
      <c r="B30" s="93" t="s">
        <v>12</v>
      </c>
      <c r="C30" s="14">
        <v>0.32</v>
      </c>
      <c r="D30" s="5">
        <v>319</v>
      </c>
      <c r="E30" s="5">
        <v>93</v>
      </c>
      <c r="F30" s="26">
        <f t="shared" si="28"/>
        <v>0.29153605015673983</v>
      </c>
      <c r="G30" s="8">
        <v>93</v>
      </c>
      <c r="H30" s="5">
        <v>3</v>
      </c>
      <c r="I30" s="6">
        <v>7</v>
      </c>
      <c r="J30" s="57">
        <f t="shared" si="29"/>
        <v>319</v>
      </c>
      <c r="K30" s="64">
        <f t="shared" si="30"/>
        <v>1</v>
      </c>
      <c r="L30" s="58">
        <f t="shared" si="31"/>
        <v>229</v>
      </c>
      <c r="M30" s="64">
        <f t="shared" si="32"/>
        <v>0.7178683385579937</v>
      </c>
      <c r="N30" s="57">
        <f t="shared" si="33"/>
        <v>233</v>
      </c>
      <c r="O30" s="65">
        <f t="shared" si="34"/>
        <v>0.73040752351097182</v>
      </c>
      <c r="P30" s="46">
        <f t="shared" si="35"/>
        <v>39875</v>
      </c>
      <c r="Q30" s="46">
        <f t="shared" si="36"/>
        <v>38701</v>
      </c>
      <c r="R30" s="46">
        <f t="shared" si="37"/>
        <v>1165</v>
      </c>
      <c r="S30" s="85">
        <f t="shared" si="38"/>
        <v>79741</v>
      </c>
      <c r="T30" s="69">
        <f t="shared" si="39"/>
        <v>319</v>
      </c>
      <c r="U30" s="64">
        <f t="shared" si="40"/>
        <v>1</v>
      </c>
      <c r="V30" s="64">
        <f t="shared" si="15"/>
        <v>0</v>
      </c>
      <c r="W30" s="70">
        <f t="shared" si="41"/>
        <v>10.29032258064516</v>
      </c>
      <c r="X30" s="64">
        <f t="shared" si="42"/>
        <v>3.2258064516129031E-2</v>
      </c>
      <c r="Y30" s="64">
        <f t="shared" si="16"/>
        <v>0.967741935483871</v>
      </c>
      <c r="Z30" s="70">
        <f t="shared" si="43"/>
        <v>24.010752688172044</v>
      </c>
      <c r="AA30" s="64">
        <f t="shared" si="44"/>
        <v>7.5268817204301078E-2</v>
      </c>
      <c r="AB30" s="64">
        <f t="shared" si="17"/>
        <v>0.92473118279569888</v>
      </c>
      <c r="AC30" s="71">
        <f t="shared" si="24"/>
        <v>39875</v>
      </c>
      <c r="AD30" s="46">
        <f t="shared" si="25"/>
        <v>1739.064516129032</v>
      </c>
      <c r="AE30" s="46">
        <f t="shared" si="26"/>
        <v>120.05376344086022</v>
      </c>
      <c r="AF30" s="85">
        <f t="shared" si="27"/>
        <v>41734.118279569891</v>
      </c>
    </row>
    <row r="31" spans="1:32" s="48" customFormat="1" x14ac:dyDescent="0.35">
      <c r="B31" s="92" t="s">
        <v>3</v>
      </c>
      <c r="C31" s="49">
        <v>0.25</v>
      </c>
      <c r="D31" s="50">
        <v>405</v>
      </c>
      <c r="E31" s="50">
        <v>199</v>
      </c>
      <c r="F31" s="51">
        <f t="shared" si="28"/>
        <v>0.49135802469135803</v>
      </c>
      <c r="G31" s="52">
        <v>163</v>
      </c>
      <c r="H31" s="50">
        <v>6</v>
      </c>
      <c r="I31" s="53">
        <v>33</v>
      </c>
      <c r="J31" s="59">
        <f t="shared" si="29"/>
        <v>369</v>
      </c>
      <c r="K31" s="66">
        <f t="shared" si="30"/>
        <v>0.91111111111111109</v>
      </c>
      <c r="L31" s="60">
        <f t="shared" si="31"/>
        <v>212</v>
      </c>
      <c r="M31" s="66">
        <f t="shared" si="32"/>
        <v>0.52345679012345681</v>
      </c>
      <c r="N31" s="59">
        <f t="shared" si="33"/>
        <v>239</v>
      </c>
      <c r="O31" s="67">
        <f t="shared" si="34"/>
        <v>0.59012345679012346</v>
      </c>
      <c r="P31" s="54">
        <f t="shared" si="35"/>
        <v>46125</v>
      </c>
      <c r="Q31" s="54">
        <f t="shared" si="36"/>
        <v>35828</v>
      </c>
      <c r="R31" s="54">
        <f t="shared" si="37"/>
        <v>1195</v>
      </c>
      <c r="S31" s="86">
        <f t="shared" si="38"/>
        <v>83148</v>
      </c>
      <c r="T31" s="72">
        <f t="shared" si="39"/>
        <v>331.73366834170855</v>
      </c>
      <c r="U31" s="66">
        <f t="shared" si="40"/>
        <v>0.81909547738693467</v>
      </c>
      <c r="V31" s="66">
        <f t="shared" si="15"/>
        <v>0.18090452261306533</v>
      </c>
      <c r="W31" s="73">
        <f t="shared" si="41"/>
        <v>12.211055276381909</v>
      </c>
      <c r="X31" s="66">
        <f t="shared" si="42"/>
        <v>3.015075376884422E-2</v>
      </c>
      <c r="Y31" s="66">
        <f t="shared" si="16"/>
        <v>0.96984924623115576</v>
      </c>
      <c r="Z31" s="73">
        <f t="shared" si="43"/>
        <v>67.1608040201005</v>
      </c>
      <c r="AA31" s="66">
        <f t="shared" si="44"/>
        <v>0.16582914572864321</v>
      </c>
      <c r="AB31" s="66">
        <f t="shared" si="17"/>
        <v>0.83417085427135684</v>
      </c>
      <c r="AC31" s="74">
        <f t="shared" si="24"/>
        <v>41466.708542713568</v>
      </c>
      <c r="AD31" s="54">
        <f t="shared" si="25"/>
        <v>2063.6683417085428</v>
      </c>
      <c r="AE31" s="54">
        <f t="shared" si="26"/>
        <v>335.8040201005025</v>
      </c>
      <c r="AF31" s="86">
        <f t="shared" si="27"/>
        <v>43866.180904522618</v>
      </c>
    </row>
    <row r="32" spans="1:32" x14ac:dyDescent="0.35">
      <c r="B32" s="91" t="s">
        <v>37</v>
      </c>
      <c r="C32" s="23">
        <v>0.26</v>
      </c>
      <c r="D32" s="5" t="s">
        <v>26</v>
      </c>
      <c r="E32" s="5" t="s">
        <v>26</v>
      </c>
      <c r="F32" s="6" t="s">
        <v>26</v>
      </c>
      <c r="G32" s="5" t="s">
        <v>26</v>
      </c>
      <c r="H32" s="5" t="s">
        <v>26</v>
      </c>
      <c r="I32" s="6" t="s">
        <v>26</v>
      </c>
      <c r="J32" s="58" t="s">
        <v>26</v>
      </c>
      <c r="K32" s="58" t="s">
        <v>26</v>
      </c>
      <c r="L32" s="58" t="s">
        <v>26</v>
      </c>
      <c r="M32" s="58" t="s">
        <v>26</v>
      </c>
      <c r="N32" s="58" t="s">
        <v>26</v>
      </c>
      <c r="O32" s="62" t="s">
        <v>26</v>
      </c>
      <c r="P32" s="79" t="s">
        <v>26</v>
      </c>
      <c r="Q32" s="79" t="s">
        <v>26</v>
      </c>
      <c r="R32" s="79" t="s">
        <v>26</v>
      </c>
      <c r="S32" s="88" t="s">
        <v>26</v>
      </c>
      <c r="T32" s="80" t="s">
        <v>26</v>
      </c>
      <c r="U32" s="58" t="s">
        <v>26</v>
      </c>
      <c r="V32" s="64" t="s">
        <v>26</v>
      </c>
      <c r="W32" s="58" t="s">
        <v>26</v>
      </c>
      <c r="X32" s="58" t="s">
        <v>26</v>
      </c>
      <c r="Y32" s="64" t="s">
        <v>26</v>
      </c>
      <c r="Z32" s="58" t="s">
        <v>26</v>
      </c>
      <c r="AA32" s="57" t="s">
        <v>26</v>
      </c>
      <c r="AB32" s="58" t="s">
        <v>26</v>
      </c>
      <c r="AC32" s="81" t="s">
        <v>26</v>
      </c>
      <c r="AD32" s="79" t="s">
        <v>26</v>
      </c>
      <c r="AE32" s="79" t="s">
        <v>26</v>
      </c>
      <c r="AF32" s="88" t="s">
        <v>26</v>
      </c>
    </row>
    <row r="33" spans="2:32" s="48" customFormat="1" x14ac:dyDescent="0.35">
      <c r="B33" s="94" t="s">
        <v>35</v>
      </c>
      <c r="C33" s="56">
        <v>0.26</v>
      </c>
      <c r="D33" s="50" t="s">
        <v>26</v>
      </c>
      <c r="E33" s="50" t="s">
        <v>26</v>
      </c>
      <c r="F33" s="53" t="s">
        <v>26</v>
      </c>
      <c r="G33" s="50" t="s">
        <v>26</v>
      </c>
      <c r="H33" s="50" t="s">
        <v>26</v>
      </c>
      <c r="I33" s="53" t="s">
        <v>26</v>
      </c>
      <c r="J33" s="60" t="s">
        <v>26</v>
      </c>
      <c r="K33" s="60" t="s">
        <v>26</v>
      </c>
      <c r="L33" s="60" t="s">
        <v>26</v>
      </c>
      <c r="M33" s="60" t="s">
        <v>26</v>
      </c>
      <c r="N33" s="60" t="s">
        <v>26</v>
      </c>
      <c r="O33" s="61" t="s">
        <v>26</v>
      </c>
      <c r="P33" s="76" t="s">
        <v>26</v>
      </c>
      <c r="Q33" s="76" t="s">
        <v>26</v>
      </c>
      <c r="R33" s="76" t="s">
        <v>26</v>
      </c>
      <c r="S33" s="87" t="s">
        <v>26</v>
      </c>
      <c r="T33" s="77" t="s">
        <v>26</v>
      </c>
      <c r="U33" s="60" t="s">
        <v>26</v>
      </c>
      <c r="V33" s="66" t="s">
        <v>26</v>
      </c>
      <c r="W33" s="60" t="s">
        <v>26</v>
      </c>
      <c r="X33" s="60" t="s">
        <v>26</v>
      </c>
      <c r="Y33" s="66" t="s">
        <v>26</v>
      </c>
      <c r="Z33" s="60" t="s">
        <v>26</v>
      </c>
      <c r="AA33" s="59" t="s">
        <v>26</v>
      </c>
      <c r="AB33" s="60" t="s">
        <v>26</v>
      </c>
      <c r="AC33" s="78" t="s">
        <v>26</v>
      </c>
      <c r="AD33" s="76" t="s">
        <v>26</v>
      </c>
      <c r="AE33" s="76" t="s">
        <v>26</v>
      </c>
      <c r="AF33" s="87" t="s">
        <v>26</v>
      </c>
    </row>
    <row r="34" spans="2:32" x14ac:dyDescent="0.35">
      <c r="B34" s="91" t="s">
        <v>36</v>
      </c>
      <c r="C34" s="23">
        <v>0.26</v>
      </c>
      <c r="D34" s="5" t="s">
        <v>26</v>
      </c>
      <c r="E34" s="5" t="s">
        <v>26</v>
      </c>
      <c r="F34" s="6" t="s">
        <v>26</v>
      </c>
      <c r="G34" s="5" t="s">
        <v>26</v>
      </c>
      <c r="H34" s="5" t="s">
        <v>26</v>
      </c>
      <c r="I34" s="6" t="s">
        <v>26</v>
      </c>
      <c r="J34" s="58" t="s">
        <v>26</v>
      </c>
      <c r="K34" s="58" t="s">
        <v>26</v>
      </c>
      <c r="L34" s="58" t="s">
        <v>26</v>
      </c>
      <c r="M34" s="58" t="s">
        <v>26</v>
      </c>
      <c r="N34" s="58" t="s">
        <v>26</v>
      </c>
      <c r="O34" s="62" t="s">
        <v>26</v>
      </c>
      <c r="P34" s="79" t="s">
        <v>26</v>
      </c>
      <c r="Q34" s="79" t="s">
        <v>26</v>
      </c>
      <c r="R34" s="79" t="s">
        <v>26</v>
      </c>
      <c r="S34" s="88" t="s">
        <v>26</v>
      </c>
      <c r="T34" s="80" t="s">
        <v>26</v>
      </c>
      <c r="U34" s="58" t="s">
        <v>26</v>
      </c>
      <c r="V34" s="64" t="s">
        <v>26</v>
      </c>
      <c r="W34" s="58" t="s">
        <v>26</v>
      </c>
      <c r="X34" s="58" t="s">
        <v>26</v>
      </c>
      <c r="Y34" s="64" t="s">
        <v>26</v>
      </c>
      <c r="Z34" s="58" t="s">
        <v>26</v>
      </c>
      <c r="AA34" s="57" t="s">
        <v>26</v>
      </c>
      <c r="AB34" s="58" t="s">
        <v>26</v>
      </c>
      <c r="AC34" s="81" t="s">
        <v>26</v>
      </c>
      <c r="AD34" s="79" t="s">
        <v>26</v>
      </c>
      <c r="AE34" s="79" t="s">
        <v>26</v>
      </c>
      <c r="AF34" s="88" t="s">
        <v>26</v>
      </c>
    </row>
    <row r="35" spans="2:32" s="39" customFormat="1" ht="15" thickBot="1" x14ac:dyDescent="0.4">
      <c r="C35" s="40"/>
      <c r="D35" s="40"/>
      <c r="E35" s="40"/>
      <c r="F35" s="41"/>
      <c r="G35" s="40"/>
      <c r="H35" s="40"/>
      <c r="I35" s="41"/>
      <c r="J35" s="63"/>
      <c r="K35" s="63"/>
      <c r="L35" s="63"/>
      <c r="M35" s="63"/>
      <c r="N35" s="63"/>
      <c r="O35" s="68"/>
      <c r="P35" s="82"/>
      <c r="Q35" s="82"/>
      <c r="R35" s="82"/>
      <c r="S35" s="89"/>
      <c r="T35" s="83"/>
      <c r="U35" s="63"/>
      <c r="V35" s="63"/>
      <c r="W35" s="63"/>
      <c r="X35" s="63"/>
      <c r="Y35" s="63"/>
      <c r="Z35" s="63"/>
      <c r="AA35" s="63"/>
      <c r="AB35" s="68"/>
      <c r="AC35" s="84"/>
      <c r="AD35" s="82"/>
      <c r="AE35" s="82"/>
      <c r="AF35" s="88"/>
    </row>
    <row r="36" spans="2:32" s="34" customFormat="1" ht="15" thickBot="1" x14ac:dyDescent="0.4">
      <c r="B36" s="34" t="s">
        <v>38</v>
      </c>
      <c r="C36" s="35">
        <f>AVERAGE(C4:C34)</f>
        <v>0.34966666666666668</v>
      </c>
      <c r="D36" s="21">
        <f>SUM(D4:D34)</f>
        <v>7825</v>
      </c>
      <c r="E36" s="21">
        <f>SUM(E4:E34)</f>
        <v>4544</v>
      </c>
      <c r="F36" s="36">
        <f>AVERAGE(F4:F34)</f>
        <v>0.63894952774748004</v>
      </c>
      <c r="G36" s="21">
        <f>SUM(G4:G34)</f>
        <v>2746</v>
      </c>
      <c r="H36" s="21">
        <f>SUM(H4:H34)</f>
        <v>227</v>
      </c>
      <c r="I36" s="42">
        <f>SUM(I4:I34)</f>
        <v>731</v>
      </c>
      <c r="J36" s="21">
        <f>SUM(J4:J34)</f>
        <v>5800</v>
      </c>
      <c r="K36" s="37">
        <f t="shared" ref="K36:AB36" si="45">AVERAGE(K4:K34)</f>
        <v>0.73543330141840402</v>
      </c>
      <c r="L36" s="21">
        <f>SUM(L4:L34)</f>
        <v>3281</v>
      </c>
      <c r="M36" s="37">
        <f t="shared" si="45"/>
        <v>0.39391932612987346</v>
      </c>
      <c r="N36" s="21">
        <f>SUM(N4:N34)</f>
        <v>3598</v>
      </c>
      <c r="O36" s="38">
        <f t="shared" si="45"/>
        <v>0.46578275256383411</v>
      </c>
      <c r="P36" s="45">
        <f>SUM(P4:P34)</f>
        <v>725000</v>
      </c>
      <c r="Q36" s="45">
        <f>SUM(Q4:Q34)</f>
        <v>554489</v>
      </c>
      <c r="R36" s="45">
        <f>SUM(R4:R34)</f>
        <v>17990</v>
      </c>
      <c r="S36" s="85">
        <f>SUM(S4:S34)</f>
        <v>1297479</v>
      </c>
      <c r="T36" s="28">
        <f>SUM(T4:T34)</f>
        <v>4601.4359644006854</v>
      </c>
      <c r="U36" s="37">
        <f t="shared" si="45"/>
        <v>0.57941935926402521</v>
      </c>
      <c r="V36" s="37">
        <f t="shared" si="45"/>
        <v>0.42058064073597473</v>
      </c>
      <c r="W36" s="28">
        <f>SUM(W4:W34)</f>
        <v>378.80657811938136</v>
      </c>
      <c r="X36" s="37">
        <f t="shared" si="45"/>
        <v>5.2312809461307723E-2</v>
      </c>
      <c r="Y36" s="37">
        <f t="shared" si="45"/>
        <v>0.94768719053869244</v>
      </c>
      <c r="Z36" s="28">
        <f>SUM(Z4:Z34)</f>
        <v>1082.4685579523375</v>
      </c>
      <c r="AA36" s="37">
        <f t="shared" si="45"/>
        <v>0.16596477037077217</v>
      </c>
      <c r="AB36" s="37">
        <f t="shared" si="45"/>
        <v>0.83403522962922783</v>
      </c>
      <c r="AC36" s="47">
        <f>SUM(AC4:AC34)</f>
        <v>575179.49555008567</v>
      </c>
      <c r="AD36" s="45">
        <f>SUM(AD4:AD34)</f>
        <v>64018.31170217543</v>
      </c>
      <c r="AE36" s="45">
        <f>SUM(AE4:AE34)</f>
        <v>5412.3427897616875</v>
      </c>
      <c r="AF36" s="90">
        <f>SUM(AF4:AF34)</f>
        <v>644610.15004202269</v>
      </c>
    </row>
    <row r="37" spans="2:32" x14ac:dyDescent="0.35">
      <c r="G37" s="8"/>
      <c r="H37" s="5"/>
      <c r="I37" s="6"/>
      <c r="J37" s="8"/>
      <c r="K37" s="12"/>
      <c r="L37" s="5"/>
      <c r="M37" s="22"/>
      <c r="N37" s="8"/>
      <c r="O37" s="27"/>
      <c r="Q37" s="5"/>
      <c r="R37" s="8"/>
      <c r="S37" s="6"/>
      <c r="T37" s="10"/>
      <c r="U37" s="12"/>
      <c r="V37" s="12"/>
      <c r="W37" s="5"/>
      <c r="X37" s="22"/>
      <c r="Y37" s="22"/>
      <c r="Z37" s="8"/>
      <c r="AA37" s="12"/>
      <c r="AB37" s="12"/>
      <c r="AC37" s="10"/>
      <c r="AD37" s="5"/>
      <c r="AE37" s="8"/>
      <c r="AF37" s="6"/>
    </row>
    <row r="38" spans="2:32" x14ac:dyDescent="0.35">
      <c r="G38" s="8"/>
      <c r="H38" s="5"/>
      <c r="I38" s="6"/>
      <c r="J38" s="8"/>
      <c r="K38" s="12"/>
      <c r="L38" s="5"/>
      <c r="M38" s="22"/>
      <c r="N38" s="8"/>
      <c r="O38" s="27"/>
      <c r="Q38" s="5"/>
      <c r="R38" s="8"/>
      <c r="S38" s="6"/>
      <c r="T38" s="10"/>
      <c r="U38" s="12"/>
      <c r="V38" s="12"/>
      <c r="W38" s="5"/>
      <c r="X38" s="22"/>
      <c r="Y38" s="22"/>
      <c r="Z38" s="8"/>
      <c r="AA38" s="12"/>
      <c r="AB38" s="12"/>
      <c r="AC38" s="10"/>
      <c r="AD38" s="5"/>
      <c r="AE38" s="8"/>
      <c r="AF38" s="6"/>
    </row>
  </sheetData>
  <autoFilter ref="A3:AF3">
    <sortState ref="A4:AD34">
      <sortCondition ref="B3"/>
    </sortState>
  </autoFilter>
  <mergeCells count="5">
    <mergeCell ref="T1:AA1"/>
    <mergeCell ref="J1:O1"/>
    <mergeCell ref="G1:I1"/>
    <mergeCell ref="P1:S1"/>
    <mergeCell ref="AC1:AF1"/>
  </mergeCells>
  <pageMargins left="0.7" right="0.7" top="0.75" bottom="0.75" header="0.3" footer="0.3"/>
  <pageSetup orientation="portrait" r:id="rId1"/>
  <ignoredErrors>
    <ignoredError sqref="Z24 W24 T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topLeftCell="XEK1" zoomScale="90" zoomScaleNormal="90" workbookViewId="0">
      <selection activeCell="XFD1" sqref="XFD1"/>
    </sheetView>
  </sheetViews>
  <sheetFormatPr defaultColWidth="9.1796875" defaultRowHeight="14.5" x14ac:dyDescent="0.35"/>
  <cols>
    <col min="1" max="1" width="4" style="1" customWidth="1"/>
    <col min="2" max="2" width="82.453125" style="1" bestFit="1" customWidth="1"/>
    <col min="3" max="16384" width="9.1796875" style="1"/>
  </cols>
  <sheetData>
    <row r="1" spans="2:2" s="29" customFormat="1" ht="30.75" customHeight="1" x14ac:dyDescent="0.35">
      <c r="B1" s="30" t="s">
        <v>39</v>
      </c>
    </row>
    <row r="2" spans="2:2" x14ac:dyDescent="0.35">
      <c r="B2" s="1" t="s">
        <v>51</v>
      </c>
    </row>
    <row r="3" spans="2:2" x14ac:dyDescent="0.35">
      <c r="B3" s="1" t="s">
        <v>40</v>
      </c>
    </row>
    <row r="4" spans="2:2" x14ac:dyDescent="0.35">
      <c r="B4" s="1" t="s">
        <v>47</v>
      </c>
    </row>
    <row r="5" spans="2:2" x14ac:dyDescent="0.35">
      <c r="B5" s="1" t="s">
        <v>48</v>
      </c>
    </row>
    <row r="6" spans="2:2" x14ac:dyDescent="0.35">
      <c r="B6" s="1" t="s">
        <v>49</v>
      </c>
    </row>
    <row r="7" spans="2:2" x14ac:dyDescent="0.35">
      <c r="B7" s="20" t="s">
        <v>44</v>
      </c>
    </row>
    <row r="8" spans="2:2" x14ac:dyDescent="0.35">
      <c r="B8" s="1" t="s">
        <v>45</v>
      </c>
    </row>
    <row r="9" spans="2:2" x14ac:dyDescent="0.35">
      <c r="B9" s="1" t="s">
        <v>46</v>
      </c>
    </row>
    <row r="11" spans="2:2" x14ac:dyDescent="0.35">
      <c r="B11" s="4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Assumptions</vt:lpstr>
    </vt:vector>
  </TitlesOfParts>
  <Company>The Boston Consulting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Siggaard, Morten</dc:creator>
  <cp:lastModifiedBy>Moes, Vanessa</cp:lastModifiedBy>
  <dcterms:created xsi:type="dcterms:W3CDTF">2018-05-31T06:58:55Z</dcterms:created>
  <dcterms:modified xsi:type="dcterms:W3CDTF">2018-06-03T14:24:22Z</dcterms:modified>
</cp:coreProperties>
</file>